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715" firstSheet="2" activeTab="2"/>
  </bookViews>
  <sheets>
    <sheet name="INICIAL" sheetId="1" state="hidden" r:id="rId1"/>
    <sheet name="PRESUPUESTO MAESTRO" sheetId="2" state="hidden" r:id="rId2"/>
    <sheet name="DATOS" sheetId="3" r:id="rId3"/>
    <sheet name="PRESUPUESTOS DE VENTA  " sheetId="4" r:id="rId4"/>
    <sheet name="PRESUPUESTROS DE COMPRA" sheetId="5" r:id="rId5"/>
    <sheet name="PRESUPESTOS MOD" sheetId="6" r:id="rId6"/>
    <sheet name="PRESUPUESTOS DE CIF" sheetId="7" r:id="rId7"/>
    <sheet name="PRESUPUESTO DE GASTOS ADMINISTR" sheetId="8" r:id="rId8"/>
    <sheet name="PRESUPUESTO DE PUBLICIDAD" sheetId="9" r:id="rId9"/>
    <sheet name="PRESUPUESTO DE INVERSION" sheetId="10" r:id="rId10"/>
    <sheet name="EST DE RESULTADOS" sheetId="11" r:id="rId11"/>
    <sheet name="BALANCE" sheetId="12" r:id="rId12"/>
    <sheet name="FLUJO DE CAJA" sheetId="13" r:id="rId13"/>
    <sheet name="Hoja1" sheetId="14" r:id="rId14"/>
  </sheets>
  <definedNames/>
  <calcPr fullCalcOnLoad="1"/>
</workbook>
</file>

<file path=xl/comments3.xml><?xml version="1.0" encoding="utf-8"?>
<comments xmlns="http://schemas.openxmlformats.org/spreadsheetml/2006/main">
  <authors>
    <author>gst-soporte</author>
    <author>ALEXANDER CORTES</author>
    <author>ALEX DUE?AS</author>
    <author>USER</author>
  </authors>
  <commentList>
    <comment ref="F78" authorId="0">
      <text>
        <r>
          <rPr>
            <b/>
            <sz val="9"/>
            <rFont val="Tahoma"/>
            <family val="2"/>
          </rPr>
          <t>ALEX</t>
        </r>
        <r>
          <rPr>
            <sz val="9"/>
            <rFont val="Tahoma"/>
            <family val="2"/>
          </rPr>
          <t xml:space="preserve">
SOLO SI LO HAY</t>
        </r>
      </text>
    </comment>
    <comment ref="N87" authorId="1">
      <text>
        <r>
          <rPr>
            <b/>
            <sz val="9"/>
            <rFont val="Tahoma"/>
            <family val="2"/>
          </rPr>
          <t>ALEX</t>
        </r>
        <r>
          <rPr>
            <sz val="9"/>
            <rFont val="Tahoma"/>
            <family val="2"/>
          </rPr>
          <t xml:space="preserve">
</t>
        </r>
        <r>
          <rPr>
            <sz val="8"/>
            <rFont val="Tahoma"/>
            <family val="2"/>
          </rPr>
          <t xml:space="preserve">ESTA CELDA LE DA LO QUE USTED NECESITA PARA MONTAR SU EMPRESA. DE ESTO CUANTO ES CAPITAL PROPIO Y CUANTO ES PRESTAMO. </t>
        </r>
        <r>
          <rPr>
            <b/>
            <sz val="8"/>
            <rFont val="Tahoma"/>
            <family val="2"/>
          </rPr>
          <t>NO MODIFICAR</t>
        </r>
        <r>
          <rPr>
            <sz val="8"/>
            <rFont val="Tahoma"/>
            <family val="2"/>
          </rPr>
          <t xml:space="preserve">
</t>
        </r>
      </text>
    </comment>
    <comment ref="E90" authorId="1">
      <text>
        <r>
          <rPr>
            <b/>
            <sz val="9"/>
            <rFont val="Tahoma"/>
            <family val="2"/>
          </rPr>
          <t>ALEXA</t>
        </r>
        <r>
          <rPr>
            <sz val="9"/>
            <rFont val="Tahoma"/>
            <family val="2"/>
          </rPr>
          <t xml:space="preserve">
AUMENTO PORCENTUAL DEL SALARIO DE MANO DE OBRA DIRECTA Y DEL DESTAJO
</t>
        </r>
      </text>
    </comment>
    <comment ref="N90" authorId="1">
      <text>
        <r>
          <rPr>
            <b/>
            <sz val="9"/>
            <rFont val="Tahoma"/>
            <family val="2"/>
          </rPr>
          <t>ALEX</t>
        </r>
        <r>
          <rPr>
            <sz val="9"/>
            <rFont val="Tahoma"/>
            <family val="2"/>
          </rPr>
          <t xml:space="preserve">
</t>
        </r>
        <r>
          <rPr>
            <sz val="12"/>
            <rFont val="Tahoma"/>
            <family val="2"/>
          </rPr>
          <t>NO MODIFICAR LO QUE ESTA EN ROJO: Es el  numero de cuotas a las que sometera su prestamo</t>
        </r>
        <r>
          <rPr>
            <sz val="9"/>
            <rFont val="Tahoma"/>
            <family val="2"/>
          </rPr>
          <t xml:space="preserve">
</t>
        </r>
      </text>
    </comment>
    <comment ref="F97" authorId="0">
      <text>
        <r>
          <rPr>
            <b/>
            <sz val="9"/>
            <rFont val="Tahoma"/>
            <family val="2"/>
          </rPr>
          <t>ALEX</t>
        </r>
        <r>
          <rPr>
            <sz val="9"/>
            <rFont val="Tahoma"/>
            <family val="2"/>
          </rPr>
          <t xml:space="preserve">
SOLO SI LO HAY, Y ESTAN DADOS COMO PORCENTAJE DE LAS VENTAS, SI NO LOS HAY, DIGITE  CERO
</t>
        </r>
      </text>
    </comment>
    <comment ref="E108" authorId="1">
      <text>
        <r>
          <rPr>
            <b/>
            <sz val="9"/>
            <rFont val="Tahoma"/>
            <family val="2"/>
          </rPr>
          <t>ALEX</t>
        </r>
        <r>
          <rPr>
            <sz val="9"/>
            <rFont val="Tahoma"/>
            <family val="2"/>
          </rPr>
          <t xml:space="preserve">
AUMENTO PORCENTUAL DE LA COMISION
</t>
        </r>
      </text>
    </comment>
    <comment ref="K25" authorId="1">
      <text>
        <r>
          <rPr>
            <b/>
            <sz val="9"/>
            <rFont val="Tahoma"/>
            <family val="2"/>
          </rPr>
          <t>ALEX</t>
        </r>
        <r>
          <rPr>
            <sz val="9"/>
            <rFont val="Tahoma"/>
            <family val="2"/>
          </rPr>
          <t xml:space="preserve">
</t>
        </r>
        <r>
          <rPr>
            <sz val="14"/>
            <rFont val="Tahoma"/>
            <family val="2"/>
          </rPr>
          <t>Colocar aquí el valor estimado para pago año1  (un valor en pesos,)</t>
        </r>
        <r>
          <rPr>
            <sz val="9"/>
            <rFont val="Tahoma"/>
            <family val="2"/>
          </rPr>
          <t xml:space="preserve">
</t>
        </r>
      </text>
    </comment>
    <comment ref="C20" authorId="1">
      <text>
        <r>
          <rPr>
            <b/>
            <sz val="9"/>
            <rFont val="Tahoma"/>
            <family val="2"/>
          </rPr>
          <t>ALEX</t>
        </r>
        <r>
          <rPr>
            <sz val="9"/>
            <rFont val="Tahoma"/>
            <family val="2"/>
          </rPr>
          <t xml:space="preserve">
PORCENTAJE
</t>
        </r>
      </text>
    </comment>
    <comment ref="R80" authorId="1">
      <text>
        <r>
          <rPr>
            <b/>
            <sz val="9"/>
            <rFont val="Tahoma"/>
            <family val="2"/>
          </rPr>
          <t>ALEX</t>
        </r>
        <r>
          <rPr>
            <sz val="9"/>
            <rFont val="Tahoma"/>
            <family val="2"/>
          </rPr>
          <t xml:space="preserve">
EN PORCENTAJE
aumento en % del valor total de publicidad</t>
        </r>
      </text>
    </comment>
    <comment ref="N91" authorId="2">
      <text>
        <r>
          <rPr>
            <b/>
            <sz val="9"/>
            <rFont val="Tahoma"/>
            <family val="2"/>
          </rPr>
          <t>ALEX DUEÑAS:</t>
        </r>
        <r>
          <rPr>
            <sz val="9"/>
            <rFont val="Tahoma"/>
            <family val="2"/>
          </rPr>
          <t xml:space="preserve">
</t>
        </r>
        <r>
          <rPr>
            <sz val="12"/>
            <rFont val="Tahoma"/>
            <family val="2"/>
          </rPr>
          <t>Se coloca una tasa  promedio del mercado (para inversión)</t>
        </r>
      </text>
    </comment>
    <comment ref="B33"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E39" authorId="2">
      <text>
        <r>
          <rPr>
            <b/>
            <sz val="9"/>
            <rFont val="Tahoma"/>
            <family val="2"/>
          </rPr>
          <t>ALEX DUEÑAS:</t>
        </r>
        <r>
          <rPr>
            <sz val="9"/>
            <rFont val="Tahoma"/>
            <family val="2"/>
          </rPr>
          <t xml:space="preserve">
Si los servicios de recurso humano estan contemplados  en su totalidad en  SALARIOS ADMINISTRATIVOS Y COMERIALES (NOMINA)  NO diligencie esta parte.</t>
        </r>
      </text>
    </comment>
    <comment ref="B70"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B86"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B102"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B118"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B134"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B150"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B166"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B182"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B198" authorId="2">
      <text>
        <r>
          <rPr>
            <b/>
            <sz val="9"/>
            <rFont val="Tahoma"/>
            <family val="2"/>
          </rPr>
          <t>ALEX DUEÑAS:</t>
        </r>
        <r>
          <rPr>
            <sz val="9"/>
            <rFont val="Tahoma"/>
            <family val="2"/>
          </rPr>
          <t xml:space="preserve">
Colocar todos los recursos asociados a la producción del bie o servicio.  En la fila del frente se coloca el valor de esa recurso o materia prima</t>
        </r>
      </text>
    </comment>
    <comment ref="K94" authorId="1">
      <text>
        <r>
          <rPr>
            <b/>
            <sz val="9"/>
            <rFont val="Tahoma"/>
            <family val="2"/>
          </rPr>
          <t>ALEX</t>
        </r>
        <r>
          <rPr>
            <sz val="9"/>
            <rFont val="Tahoma"/>
            <family val="2"/>
          </rPr>
          <t xml:space="preserve">
COLOQUE AQUÍ SU RENTABILIDAD ESPERADA EN PORCENTAJE (?cual es suu costo de oportunidad?)
</t>
        </r>
      </text>
    </comment>
    <comment ref="I94" authorId="3">
      <text>
        <r>
          <rPr>
            <b/>
            <sz val="9"/>
            <rFont val="Tahoma"/>
            <family val="2"/>
          </rPr>
          <t>USER:</t>
        </r>
        <r>
          <rPr>
            <sz val="9"/>
            <rFont val="Tahoma"/>
            <family val="2"/>
          </rPr>
          <t xml:space="preserve">
</t>
        </r>
        <r>
          <rPr>
            <sz val="14"/>
            <rFont val="Tahoma"/>
            <family val="2"/>
          </rPr>
          <t>Costo de Oportunidad del Capital:  El costo de oportunidad del capital es la rentabilidad que entrega el mejor uso alternativo del capital. Supongamos que existen sólo dos inversiones posibles (con I=$100). La primera me entrega $150 seguro, la segunda $150 en valor esperado, pero tiene un rango de resultados posibles que va de $50 a $250. ¿Cuál es mejor? Los inversionistas son adversos al riesgo, por lo que exigenun “premio” o compensación por asumir un mayor riesgo. Luego, el costo de oportunidad relevante para una inversión, es la rentabilidad que ofrece el capital invertido en el mejor uso alternativo, para el mismo nivel de riesgo.
Fuente: Indicadores Financieros Detallado. Recuperado en https://users.dcc.uchile.cl/~anpereir/evaluacion/08IndicadoresFinancierosDetalladoParte1.pdf</t>
        </r>
      </text>
    </comment>
    <comment ref="O4" authorId="3">
      <text>
        <r>
          <rPr>
            <b/>
            <sz val="9"/>
            <rFont val="Tahoma"/>
            <family val="2"/>
          </rPr>
          <t>USER:</t>
        </r>
        <r>
          <rPr>
            <sz val="9"/>
            <rFont val="Tahoma"/>
            <family val="2"/>
          </rPr>
          <t xml:space="preserve">
</t>
        </r>
        <r>
          <rPr>
            <sz val="14"/>
            <rFont val="Tahoma"/>
            <family val="2"/>
          </rPr>
          <t>Colocar aquí el valor correspondiente para el  pago de arriendo del año1  (un valor en pesos,)</t>
        </r>
      </text>
    </comment>
    <comment ref="K26" authorId="1">
      <text>
        <r>
          <rPr>
            <b/>
            <sz val="9"/>
            <rFont val="Tahoma"/>
            <family val="2"/>
          </rPr>
          <t>ALEX</t>
        </r>
        <r>
          <rPr>
            <sz val="9"/>
            <rFont val="Tahoma"/>
            <family val="2"/>
          </rPr>
          <t xml:space="preserve">
anualmente como crece este valor</t>
        </r>
      </text>
    </comment>
    <comment ref="F20" authorId="0">
      <text>
        <r>
          <rPr>
            <b/>
            <sz val="9"/>
            <rFont val="Tahoma"/>
            <family val="2"/>
          </rPr>
          <t xml:space="preserve">alex
</t>
        </r>
        <r>
          <rPr>
            <sz val="9"/>
            <rFont val="Tahoma"/>
            <family val="2"/>
          </rPr>
          <t>Aquí va el precio promedio  del del  año 1  para el  producto 1  ( cada casilla es para el producto respectivo)</t>
        </r>
      </text>
    </comment>
    <comment ref="N80" authorId="1">
      <text>
        <r>
          <rPr>
            <b/>
            <sz val="9"/>
            <rFont val="Tahoma"/>
            <family val="2"/>
          </rPr>
          <t>ALEX</t>
        </r>
        <r>
          <rPr>
            <sz val="9"/>
            <rFont val="Tahoma"/>
            <family val="2"/>
          </rPr>
          <t xml:space="preserve">
valores en pesos de cada rubro</t>
        </r>
      </text>
    </comment>
    <comment ref="R82" authorId="2">
      <text>
        <r>
          <rPr>
            <b/>
            <sz val="9"/>
            <rFont val="Tahoma"/>
            <family val="2"/>
          </rPr>
          <t>ALEX DUEÑAS:</t>
        </r>
        <r>
          <rPr>
            <sz val="9"/>
            <rFont val="Tahoma"/>
            <family val="2"/>
          </rPr>
          <t xml:space="preserve">
E</t>
        </r>
        <r>
          <rPr>
            <sz val="12"/>
            <rFont val="Tahoma"/>
            <family val="2"/>
          </rPr>
          <t>s un valor que da cuenta de esas  erogaciones en que se debe incurrir en la etapa previa al inicio de las operaciones: lo que a precio de mercado puede valer un estudio de factibilidad como el se hizo por ejemplo.
Pueden considerse tambien los gastos propios de trámites legales para la constitución de una empresa pueden ser considerados gastos preoperativos.</t>
        </r>
      </text>
    </comment>
  </commentList>
</comments>
</file>

<file path=xl/sharedStrings.xml><?xml version="1.0" encoding="utf-8"?>
<sst xmlns="http://schemas.openxmlformats.org/spreadsheetml/2006/main" count="718" uniqueCount="364">
  <si>
    <t>PRODUCTO</t>
  </si>
  <si>
    <t>CANTIDAD</t>
  </si>
  <si>
    <t>TOTAL</t>
  </si>
  <si>
    <t>PRECIO</t>
  </si>
  <si>
    <t>AUMENTO COSTO DE SERVICIOS PUBLICOS AÑO 2</t>
  </si>
  <si>
    <t>AUMENTO COSTO DE SERVICIOS PUBLICOS AÑO 3</t>
  </si>
  <si>
    <t>AUMENTO COSTO DE SERVICIOS PUBLICOS AÑO 4</t>
  </si>
  <si>
    <t>AUMENTO COSTO DE SERVICIOS PUBLICOS AÑO 5</t>
  </si>
  <si>
    <t>AUMENTO COSTO MANTENIMIENTO DE EQUIPOS AÑO 2</t>
  </si>
  <si>
    <t>AUMENTO COSTO MANTENIMIENTO DE EQUIPOS AÑO 3</t>
  </si>
  <si>
    <t>AUMENTO COSTO MANTENIMIENTO DE EQUIPOS AÑO 4</t>
  </si>
  <si>
    <t>AUMENTO COSTO MANTENIMIENTO DE EQUIPOS AÑO 5</t>
  </si>
  <si>
    <t>MAQUINARIA Y EQUIPO</t>
  </si>
  <si>
    <t>MUEBLES Y ENSERES</t>
  </si>
  <si>
    <t>VEHICULOS</t>
  </si>
  <si>
    <t>EQUIPO DE TECNOLOGIA</t>
  </si>
  <si>
    <t>MANO DE OBRA DIRECTA</t>
  </si>
  <si>
    <t>SALARIO</t>
  </si>
  <si>
    <t>DEPRECIACION MAQUINARIA Y EQUIPO ANUAL</t>
  </si>
  <si>
    <t>DEPRECIACION MUEBLES Y ENSERES ANUAL</t>
  </si>
  <si>
    <t>Tipo Acción</t>
  </si>
  <si>
    <t>AÑO 1</t>
  </si>
  <si>
    <t>Internet</t>
  </si>
  <si>
    <t>Salarios administrativos y comerciales AÑO 2</t>
  </si>
  <si>
    <t>Salarios administrativos y comerciales AÑO 3</t>
  </si>
  <si>
    <t>Salarios administrativos y comerciales AÑO 4</t>
  </si>
  <si>
    <t>Salarios administrativos y comerciales AÑO 5</t>
  </si>
  <si>
    <t>CAPITAL PROPIO</t>
  </si>
  <si>
    <t>AÑO 2</t>
  </si>
  <si>
    <t>PRESTAMO</t>
  </si>
  <si>
    <t>AÑO 3</t>
  </si>
  <si>
    <t>PLAZO (EN MESES)</t>
  </si>
  <si>
    <t>AÑO 4</t>
  </si>
  <si>
    <t>TASA</t>
  </si>
  <si>
    <t>AÑO 5</t>
  </si>
  <si>
    <t>TASA DE OPORTUNIDAD DE EVALUACION DEL PROYECTO</t>
  </si>
  <si>
    <t>PRESUPUESTO DE VENTAS AÑO 1</t>
  </si>
  <si>
    <t>PRESUPUESTO DE VENTAS AÑO 2</t>
  </si>
  <si>
    <t>PRESUPUESTO DE VENTAS AÑO 3</t>
  </si>
  <si>
    <t>PRESUPUESTO DE VENTAS AÑO 4</t>
  </si>
  <si>
    <t>PRESUPUESTO DE VENTAS AÑO 5</t>
  </si>
  <si>
    <t>INGRESO</t>
  </si>
  <si>
    <t>INGRESO TOTAL AÑO 1</t>
  </si>
  <si>
    <t>COMPRA DE MATERIA PRIMA</t>
  </si>
  <si>
    <t>UNIDADES</t>
  </si>
  <si>
    <t xml:space="preserve">COSTO </t>
  </si>
  <si>
    <t>COSTO TOTAL</t>
  </si>
  <si>
    <t>TOTAL AÑO 1</t>
  </si>
  <si>
    <t>TOTAL AÑO 2</t>
  </si>
  <si>
    <t>TOTAL AÑO 3</t>
  </si>
  <si>
    <t>TOTAL AÑO 4</t>
  </si>
  <si>
    <t>TOTAL AÑO 5</t>
  </si>
  <si>
    <t>PRESUPUESTO DE MANO DE OBRA DIRECTA</t>
  </si>
  <si>
    <t>AÑO</t>
  </si>
  <si>
    <t>SALARIOS</t>
  </si>
  <si>
    <t>DESTAJO</t>
  </si>
  <si>
    <t>CARGA PRESTACIONAL</t>
  </si>
  <si>
    <t>TOTALES</t>
  </si>
  <si>
    <t xml:space="preserve">PRESUPUESTO DE COSTOS INDIRECTOS DE FABRICACIÓN        </t>
  </si>
  <si>
    <t>Año 1</t>
  </si>
  <si>
    <t>Servicios Publicos</t>
  </si>
  <si>
    <t>Mantenimiento de Equipos</t>
  </si>
  <si>
    <t>Depreciación</t>
  </si>
  <si>
    <t>Total</t>
  </si>
  <si>
    <t>Año 2</t>
  </si>
  <si>
    <t>Año 3</t>
  </si>
  <si>
    <t>Año 4</t>
  </si>
  <si>
    <t>Año 5</t>
  </si>
  <si>
    <t xml:space="preserve">PRESUPUESTO DE GASTOS ADMINISTRATIVOS                         </t>
  </si>
  <si>
    <t>Arrendamiento</t>
  </si>
  <si>
    <t>Salarios administrativos y comerciales</t>
  </si>
  <si>
    <t>Depreciacion</t>
  </si>
  <si>
    <t>PRESUPUESTO DE PUBLICIDAD</t>
  </si>
  <si>
    <t>TABLA DE AMORTIZACION</t>
  </si>
  <si>
    <t>CONCEPTO</t>
  </si>
  <si>
    <t>VALOR</t>
  </si>
  <si>
    <t>PERIODOS</t>
  </si>
  <si>
    <t>DEUDA</t>
  </si>
  <si>
    <t>INTERES</t>
  </si>
  <si>
    <t>CUOTA</t>
  </si>
  <si>
    <t>AMORTIZACION</t>
  </si>
  <si>
    <t>PRESUPUESTO MAESTRO</t>
  </si>
  <si>
    <t>PRESUPUESTO DE OPERACIÓN</t>
  </si>
  <si>
    <t>PRESUPUESTO FINANCIERO</t>
  </si>
  <si>
    <t>PRESUPUESTO DE INVERSIONES DE CAPITAL</t>
  </si>
  <si>
    <t>PRESUPUESTO DE VENTAS</t>
  </si>
  <si>
    <t>ESTADO DE RESULTADOS</t>
  </si>
  <si>
    <t>PRESUPUESTO DE CAPITAL</t>
  </si>
  <si>
    <t>PRESUPUESTO COSTOS DE PRODUCCION</t>
  </si>
  <si>
    <t>BALANCE GENERAL</t>
  </si>
  <si>
    <t>PRESUPUESTO DE COMPRAS</t>
  </si>
  <si>
    <t>FLUJO DE CAJA</t>
  </si>
  <si>
    <t>PRESUPUESTO DE MO</t>
  </si>
  <si>
    <t>PRESUPUESTO DE CIF</t>
  </si>
  <si>
    <t>PRESUPUESTO DE GASTOS DE ADMINISTRACIÓN</t>
  </si>
  <si>
    <t>PRESUPUESTO DE MERCADEO Y PUBLICIDAD</t>
  </si>
  <si>
    <t>ESTADO DE PERDIDAS Y GANANCIAS AÑO 1</t>
  </si>
  <si>
    <t>ESTADO DE PERDIDAS Y GANANCIAS AÑO 2</t>
  </si>
  <si>
    <t>ESTADO DE PERDIDAS Y GANANCIAS AÑO 3</t>
  </si>
  <si>
    <t>ESTADO DE PERDIDAS Y GANANCIAS AÑO 4</t>
  </si>
  <si>
    <t>ESTADO DE PERDIDAS Y GANANCIAS AÑO 5</t>
  </si>
  <si>
    <t>VENTAS</t>
  </si>
  <si>
    <t>DCTO VENTAS</t>
  </si>
  <si>
    <t>(-) COSTO DE VENTAS</t>
  </si>
  <si>
    <t>UTILIDAD BRUTA</t>
  </si>
  <si>
    <t>(-) GASTOS ADMINISTRACIÓN Y  VENTAS</t>
  </si>
  <si>
    <t>UTILIDAD OPERACIONAL</t>
  </si>
  <si>
    <t>(-)GASTOS FINANCIEROS</t>
  </si>
  <si>
    <t>(+) OTROS INGRESOS</t>
  </si>
  <si>
    <t>(-) OTROS EGRESOS</t>
  </si>
  <si>
    <t>UOADI</t>
  </si>
  <si>
    <t>IMPO RENTA</t>
  </si>
  <si>
    <t>ITEM</t>
  </si>
  <si>
    <t>PERIODO 0</t>
  </si>
  <si>
    <t>PERIODO 1</t>
  </si>
  <si>
    <t>PERIODO 2</t>
  </si>
  <si>
    <t>PERIODO 3</t>
  </si>
  <si>
    <t>PERIODO 4</t>
  </si>
  <si>
    <t>PERIODO 5</t>
  </si>
  <si>
    <t>INGRESO POR VENTA</t>
  </si>
  <si>
    <t>OTROS INGRESOS</t>
  </si>
  <si>
    <t>TOTAL INGRESOS</t>
  </si>
  <si>
    <t>GASTOS ADMINISTRATIVOS</t>
  </si>
  <si>
    <t>GASTOS DE PUBLICIDAD</t>
  </si>
  <si>
    <t>COSTOS INDIRECTOS DE FABRICACIÓN</t>
  </si>
  <si>
    <t>GASTOS FINANCIEROS</t>
  </si>
  <si>
    <t>IMPUESTOS</t>
  </si>
  <si>
    <t>TOTAL EGRESOS</t>
  </si>
  <si>
    <t>FLUJO NETO DE CAJA</t>
  </si>
  <si>
    <t>TIR</t>
  </si>
  <si>
    <t>VPN</t>
  </si>
  <si>
    <t>RELACION BENEFICIO COSTO</t>
  </si>
  <si>
    <t>VPN INGRESOS</t>
  </si>
  <si>
    <t>VPN EGRESOS</t>
  </si>
  <si>
    <t>BALANCE INICIAL</t>
  </si>
  <si>
    <t>BALANCE GENERAL AÑO 1</t>
  </si>
  <si>
    <t>ACTIVOS</t>
  </si>
  <si>
    <t>PASIVOS</t>
  </si>
  <si>
    <t>ACTIVOS CORRIENTES</t>
  </si>
  <si>
    <t>PASIVOS C P.</t>
  </si>
  <si>
    <t>CAJA</t>
  </si>
  <si>
    <t>SOBREGIROS</t>
  </si>
  <si>
    <t>BANCOS</t>
  </si>
  <si>
    <t>PRESTAMOS</t>
  </si>
  <si>
    <t>INVENTARIOS</t>
  </si>
  <si>
    <t>IMPUESTOS POR PAGAR</t>
  </si>
  <si>
    <t>INVERSIONES CP</t>
  </si>
  <si>
    <t>TOTAL ACTIVOS CORRIENTES</t>
  </si>
  <si>
    <t>TOTAL PASIVOS C.P</t>
  </si>
  <si>
    <t>PROPIEDAD PLANTA Y E.</t>
  </si>
  <si>
    <t>PASIVOS L.P</t>
  </si>
  <si>
    <t>ACTIVOS FIJOS</t>
  </si>
  <si>
    <t>PASIVO LP</t>
  </si>
  <si>
    <t>TOTAL PASIVOS</t>
  </si>
  <si>
    <t>APORTE SOCIOS</t>
  </si>
  <si>
    <t>UTILIDAD PERIODO</t>
  </si>
  <si>
    <t>EQ. TECNOLOGICOS</t>
  </si>
  <si>
    <t>(-) DEPRECIACION</t>
  </si>
  <si>
    <t>TOTAL PROPIEDAD PLANTA Y E.</t>
  </si>
  <si>
    <t>TOTAL ACTIVOS FIJOS</t>
  </si>
  <si>
    <t>TOTAL PATRIMONIO</t>
  </si>
  <si>
    <t>OTROS ACTIVOS</t>
  </si>
  <si>
    <t>OTROS ACT.</t>
  </si>
  <si>
    <t>TOTAL ACTIVOS</t>
  </si>
  <si>
    <t>TOTAL PASIVO + PATRIMONIO</t>
  </si>
  <si>
    <t>Aumento año 2</t>
  </si>
  <si>
    <t>Aumento año 3</t>
  </si>
  <si>
    <t>Aumento año 4</t>
  </si>
  <si>
    <t>INGRESO TOTAL AÑO 2</t>
  </si>
  <si>
    <t>INGRESO TOTAL AÑO 3</t>
  </si>
  <si>
    <t>INGRESO TOTAL AÑO 4</t>
  </si>
  <si>
    <t>INGRESO TOTAL AÑO 5</t>
  </si>
  <si>
    <t>BALANCE GENERAL AÑO 2</t>
  </si>
  <si>
    <t>UTILIDAD ACUMULADA</t>
  </si>
  <si>
    <t>UTILIDAD DEL PERIODO</t>
  </si>
  <si>
    <t>BALANCE GENERAL AÑO 3</t>
  </si>
  <si>
    <t>BALANCE GENERAL AÑO 4</t>
  </si>
  <si>
    <t>BALANCE GENERAL AÑO 5</t>
  </si>
  <si>
    <t>Aumento año 5</t>
  </si>
  <si>
    <t>Pagina Web Diseño</t>
  </si>
  <si>
    <t>Hosting y dominio</t>
  </si>
  <si>
    <t xml:space="preserve">Publicidad </t>
  </si>
  <si>
    <t>NOMINA</t>
  </si>
  <si>
    <t xml:space="preserve">VALOR </t>
  </si>
  <si>
    <t>Arried.  Año 2</t>
  </si>
  <si>
    <t>Arried.  Año 3</t>
  </si>
  <si>
    <t>Arried.  Año 4</t>
  </si>
  <si>
    <t>Arried.  Año 5</t>
  </si>
  <si>
    <t xml:space="preserve">CAPITAL MINIMNO A INVERTIR </t>
  </si>
  <si>
    <t xml:space="preserve">SEVICIO DE ACUEDUCTO Y ALCANTARILLADO </t>
  </si>
  <si>
    <t>SERVICIO DE ENERGIA</t>
  </si>
  <si>
    <t>SERVICIO DE  TELEFONIA E INTERNET</t>
  </si>
  <si>
    <t>SERVCIO DE TELEFONÌA CELULAR</t>
  </si>
  <si>
    <t xml:space="preserve">     </t>
  </si>
  <si>
    <t xml:space="preserve">Gastos preoperativos </t>
  </si>
  <si>
    <r>
      <t>COSTOS MATERIA PRIMA</t>
    </r>
    <r>
      <rPr>
        <sz val="8"/>
        <color indexed="8"/>
        <rFont val="Calibri"/>
        <family val="2"/>
      </rPr>
      <t xml:space="preserve"> (insumos del producto)</t>
    </r>
  </si>
  <si>
    <t>COMPUTADORES</t>
  </si>
  <si>
    <t>PAGO COMISION POR PRODUCTO</t>
  </si>
  <si>
    <t>PRESUPUESTO DE INVERSIÓN DEL PROYECTO EMPRESARIAL</t>
  </si>
  <si>
    <t>RECURSOS  PARA LA PRODUCCIÓN</t>
  </si>
  <si>
    <r>
      <t xml:space="preserve">Retur An Assents  </t>
    </r>
    <r>
      <rPr>
        <b/>
        <sz val="12"/>
        <rFont val="Calibri"/>
        <family val="2"/>
      </rPr>
      <t>R.O.A</t>
    </r>
    <r>
      <rPr>
        <sz val="12"/>
        <rFont val="Calibri"/>
        <family val="2"/>
      </rPr>
      <t xml:space="preserve"> </t>
    </r>
  </si>
  <si>
    <t>Tasa de Interes Prestamo</t>
  </si>
  <si>
    <t>EBIT</t>
  </si>
  <si>
    <r>
      <t xml:space="preserve">Retur An Equity  </t>
    </r>
    <r>
      <rPr>
        <b/>
        <sz val="12"/>
        <rFont val="Calibri"/>
        <family val="2"/>
      </rPr>
      <t>R.O.E</t>
    </r>
  </si>
  <si>
    <t>TIR  DEL PROYECTO EMPRESARIAL</t>
  </si>
  <si>
    <t>ARRIENDO</t>
  </si>
  <si>
    <t>ARRIENDO AÑO 1</t>
  </si>
  <si>
    <t>POLITICA DE CRECIMIENTO DE LA EMPRESA A PARTIR DEL AÑO 2 EN PORCENTAJE</t>
  </si>
  <si>
    <t>POLITICA DE CRECIMIENTO DE PRECIOS A PARTIR DEL AÑO 2 EN PORCENTAJE</t>
  </si>
  <si>
    <t>PROYECCIÓN DE AUMENTO DE COSTOS  A PARTIR  AÑO 2 EN PORCENTAJE</t>
  </si>
  <si>
    <t xml:space="preserve">MATENIMIENTO DE EQUIPOS AÑO 1  </t>
  </si>
  <si>
    <t>Otros</t>
  </si>
  <si>
    <t>PRECIO  AL QUE SALDRA AL MERCADO EL  BIEN / SERVICIO PARA EL AÑO 1</t>
  </si>
  <si>
    <t>PROYECCIÓN  DEL  AUMENTO DE GASTOS EN  (PORCENTAJE)</t>
  </si>
  <si>
    <t>PROYECCIÓN DE AUMENTO DE SERVICIOS PUBLICOS EN (PORCENTAJE)</t>
  </si>
  <si>
    <t xml:space="preserve">Vehiculos </t>
  </si>
  <si>
    <t>INVERSION (Fondos propios )</t>
  </si>
  <si>
    <t>Alex Dueñas Peña</t>
  </si>
  <si>
    <t>Alexader cortes Cortes</t>
  </si>
  <si>
    <t>Este  recurso de apoyo para  conxtualizar el proyecto financieramente es un herramienta diseñada por Alexander Cortes Cortes y Alex Dueñas Peña
FAVOR SOLO LLENAR LOS DATOS DE LAS CELDAS QUE ESTAN EN BLANCO. NO MODIFICAR NINGUNA OTRA.</t>
  </si>
  <si>
    <t xml:space="preserve"> PRODUCTO (Bien o Servicio)</t>
  </si>
  <si>
    <t>Nombre  del producto 1</t>
  </si>
  <si>
    <t>Nombre  del producto 2</t>
  </si>
  <si>
    <t>Nombre  del producto 3</t>
  </si>
  <si>
    <t>Nombre  del producto 4</t>
  </si>
  <si>
    <t>Nombre  del producto 5</t>
  </si>
  <si>
    <t>Nombre  del producto 6</t>
  </si>
  <si>
    <t>Nombre  del producto 7</t>
  </si>
  <si>
    <t>Nombre  del producto 8</t>
  </si>
  <si>
    <t>Nombre  del producto 9</t>
  </si>
  <si>
    <t>Nombre  del producto 10</t>
  </si>
  <si>
    <t>Nombre  del producto 11</t>
  </si>
  <si>
    <t>Nombre  del producto 12</t>
  </si>
  <si>
    <t>Nombre  del producto 13</t>
  </si>
  <si>
    <t>Nombre  del producto 14</t>
  </si>
  <si>
    <t>Política de crecimiento del proyecto año 2</t>
  </si>
  <si>
    <t>Política de crecimiento del proyecto año 3</t>
  </si>
  <si>
    <t>Política de crecimiento del proyecto año 4</t>
  </si>
  <si>
    <t>Política de crecimiento del proyecto año 5</t>
  </si>
  <si>
    <t>Aumento de precio para los productos del proyecto año2</t>
  </si>
  <si>
    <t>Aumento de precio para los productos del proyecto año3</t>
  </si>
  <si>
    <t>Aumento de precio para los productos del proyecto año4</t>
  </si>
  <si>
    <t>Aumento de precio para los productos del proyecto año5</t>
  </si>
  <si>
    <r>
      <t xml:space="preserve">CANTIDAD A VENDER  DEL BIEN / SERVICIO PARA EL </t>
    </r>
    <r>
      <rPr>
        <sz val="10"/>
        <color indexed="10"/>
        <rFont val="Calibri"/>
        <family val="2"/>
      </rPr>
      <t>AÑO 1</t>
    </r>
  </si>
  <si>
    <r>
      <t>MANO DE OBRA DIRECTA (</t>
    </r>
    <r>
      <rPr>
        <u val="single"/>
        <sz val="10"/>
        <color indexed="8"/>
        <rFont val="Calibri"/>
        <family val="2"/>
      </rPr>
      <t>NOMINA</t>
    </r>
    <r>
      <rPr>
        <sz val="10"/>
        <color indexed="8"/>
        <rFont val="Calibri"/>
        <family val="2"/>
      </rPr>
      <t>)</t>
    </r>
  </si>
  <si>
    <r>
      <t xml:space="preserve">MANO DE OBRA AL DESTAJO -MOD- </t>
    </r>
    <r>
      <rPr>
        <sz val="10"/>
        <color indexed="10"/>
        <rFont val="Calibri"/>
        <family val="2"/>
      </rPr>
      <t>(SOLO SI LA HAY)</t>
    </r>
  </si>
  <si>
    <t>AUMENTO ANUAL -MOD-  Y DESTAJO (SOLO si diligencio  lo anterior)</t>
  </si>
  <si>
    <r>
      <t>SALARIOS ADMINISTRATIVOS  (</t>
    </r>
    <r>
      <rPr>
        <u val="single"/>
        <sz val="10"/>
        <color indexed="8"/>
        <rFont val="Calibri"/>
        <family val="2"/>
      </rPr>
      <t>NOMINA</t>
    </r>
    <r>
      <rPr>
        <sz val="10"/>
        <color indexed="8"/>
        <rFont val="Calibri"/>
        <family val="2"/>
      </rPr>
      <t>)</t>
    </r>
  </si>
  <si>
    <r>
      <t xml:space="preserve">SERVICIOS PUBLICOS PARA </t>
    </r>
    <r>
      <rPr>
        <sz val="10"/>
        <color indexed="10"/>
        <rFont val="Calibri"/>
        <family val="2"/>
      </rPr>
      <t>EL AÑO 1</t>
    </r>
  </si>
  <si>
    <r>
      <t xml:space="preserve">ARRIENDO PARA </t>
    </r>
    <r>
      <rPr>
        <sz val="10"/>
        <color indexed="10"/>
        <rFont val="Calibri"/>
        <family val="2"/>
      </rPr>
      <t>EL AÑO 1</t>
    </r>
  </si>
  <si>
    <t>Aumento de costo para los productos del proyecto año2</t>
  </si>
  <si>
    <t>Aumento de costo para los productos del proyecto año3</t>
  </si>
  <si>
    <t>Aumento de costo para los productos del proyecto año4</t>
  </si>
  <si>
    <t>Aumento de costo para los productos del proyecto año5</t>
  </si>
  <si>
    <t>AUMENTO ANUAL DE COMISIÓN  -MOD- Y DESTAJO</t>
  </si>
  <si>
    <t>VALOR TOTAL DE SALARIOS ADMINISTRATIVOS  AÑO 1</t>
  </si>
  <si>
    <t xml:space="preserve">CONSTRUCCIONES Y  OBRAS CIVILES </t>
  </si>
  <si>
    <t>UTILIDAD DEL EJERCICIO</t>
  </si>
  <si>
    <r>
      <t xml:space="preserve">Retur An Assents  </t>
    </r>
    <r>
      <rPr>
        <b/>
        <sz val="12"/>
        <color indexed="9"/>
        <rFont val="Calibri"/>
        <family val="2"/>
      </rPr>
      <t>R.O.A</t>
    </r>
    <r>
      <rPr>
        <sz val="12"/>
        <color indexed="9"/>
        <rFont val="Calibri"/>
        <family val="2"/>
      </rPr>
      <t xml:space="preserve"> </t>
    </r>
  </si>
  <si>
    <r>
      <t xml:space="preserve">Retur An Equity  </t>
    </r>
    <r>
      <rPr>
        <b/>
        <sz val="12"/>
        <color indexed="9"/>
        <rFont val="Calibri"/>
        <family val="2"/>
      </rPr>
      <t>R.O.E</t>
    </r>
  </si>
  <si>
    <t>DEPRECIACION  ANUAL</t>
  </si>
  <si>
    <t xml:space="preserve">DEPRECIACION VEHICULO ANUAL </t>
  </si>
  <si>
    <t xml:space="preserve">DEPRECIACION TECNOLOGIA ANUAL </t>
  </si>
  <si>
    <t>cocina estandar  2 Mt2</t>
  </si>
  <si>
    <t>SERVICIO DE GAS</t>
  </si>
  <si>
    <t>ELEMENTOS DE ASEO Y CAFETERIA</t>
  </si>
  <si>
    <t>MANTENIMIENO DE LA BODEGA (Pintura)</t>
  </si>
  <si>
    <t>Madera Reciclada Triplex   enchapada</t>
  </si>
  <si>
    <t>Meson Marmol San Gabriel Negro</t>
  </si>
  <si>
    <t>Tornillos</t>
  </si>
  <si>
    <t xml:space="preserve"> Manija 349 Aluminio Anodizado </t>
  </si>
  <si>
    <t>Bisagras</t>
  </si>
  <si>
    <t>Correderas Full Station</t>
  </si>
  <si>
    <t>Porta basuras</t>
  </si>
  <si>
    <t>Porta  platos</t>
  </si>
  <si>
    <t>Brazos hidrahulicos</t>
  </si>
  <si>
    <t>Pegante</t>
  </si>
  <si>
    <t>Griferia</t>
  </si>
  <si>
    <t>Dotacion</t>
  </si>
  <si>
    <t>Gorro Cabello Blanco</t>
  </si>
  <si>
    <t>Tapabocas Industriales</t>
  </si>
  <si>
    <t>Gafas Proteccion</t>
  </si>
  <si>
    <t>Guantes de carnaza</t>
  </si>
  <si>
    <t>Guantes Plasticos</t>
  </si>
  <si>
    <t>Esferos</t>
  </si>
  <si>
    <t>Resma de papel  Carta</t>
  </si>
  <si>
    <t>Resma de papel  Oficio</t>
  </si>
  <si>
    <t>Papel Fotografico Diseños</t>
  </si>
  <si>
    <t xml:space="preserve">Combustible Diesel Planta Electrica </t>
  </si>
  <si>
    <t>Combustible Diesel Camiones</t>
  </si>
  <si>
    <t>Toner Impresoras</t>
  </si>
  <si>
    <t xml:space="preserve">Grapadoras </t>
  </si>
  <si>
    <t xml:space="preserve">Cosedora </t>
  </si>
  <si>
    <t>Ganchos de Legajar</t>
  </si>
  <si>
    <t xml:space="preserve">Blok Papel </t>
  </si>
  <si>
    <t>Lapiz Para realce</t>
  </si>
  <si>
    <t>Papel Bond Pliegos</t>
  </si>
  <si>
    <t>Papel Bond Block</t>
  </si>
  <si>
    <t>Gerente General</t>
  </si>
  <si>
    <t>Lider Administrativo</t>
  </si>
  <si>
    <t>Auxiliar de RH Y administrativo</t>
  </si>
  <si>
    <t>Auxiliar Contable  y  tesoreria</t>
  </si>
  <si>
    <t>Director Comercial</t>
  </si>
  <si>
    <t>Auxiliar de compras</t>
  </si>
  <si>
    <t>Lider Produccion</t>
  </si>
  <si>
    <t>Lider de Instalacion y Distribucion</t>
  </si>
  <si>
    <t>Coordinador Calidad</t>
  </si>
  <si>
    <t xml:space="preserve">Operador produccion 1 </t>
  </si>
  <si>
    <t>Operador produccion 2</t>
  </si>
  <si>
    <t>Operador produccion 3</t>
  </si>
  <si>
    <t>Operador produccion 4</t>
  </si>
  <si>
    <t>Operador produccion 5</t>
  </si>
  <si>
    <t>Operador produccion 6</t>
  </si>
  <si>
    <t>Operador instalacion 1</t>
  </si>
  <si>
    <t>Operador instalacion 2</t>
  </si>
  <si>
    <t>Cuchilla de vuelta</t>
  </si>
  <si>
    <t>Nivel</t>
  </si>
  <si>
    <t>Brocas</t>
  </si>
  <si>
    <t>Paletas</t>
  </si>
  <si>
    <t>La Llave Del Taladro</t>
  </si>
  <si>
    <t>Caladora</t>
  </si>
  <si>
    <t>El Serrucho</t>
  </si>
  <si>
    <t>Lijadoras</t>
  </si>
  <si>
    <t>Sierre panelera Vertical</t>
  </si>
  <si>
    <t>Sierra Escudradora</t>
  </si>
  <si>
    <t>Centro de trabajo CNC</t>
  </si>
  <si>
    <t>Lijadora de Cantos</t>
  </si>
  <si>
    <t>Compresor</t>
  </si>
  <si>
    <t>Sargentas</t>
  </si>
  <si>
    <t>Presas</t>
  </si>
  <si>
    <t>Taladro 1</t>
  </si>
  <si>
    <t>Destornalldores SET</t>
  </si>
  <si>
    <t>Taladro 2</t>
  </si>
  <si>
    <t>Llave Inglesa</t>
  </si>
  <si>
    <t>Llaves Bristol</t>
  </si>
  <si>
    <t>Martillo 1</t>
  </si>
  <si>
    <t>Martillo 2</t>
  </si>
  <si>
    <t>SILLAS GERENCIA</t>
  </si>
  <si>
    <t>SILLAS PARA OFICINA</t>
  </si>
  <si>
    <t xml:space="preserve">ESCRITORIOS </t>
  </si>
  <si>
    <t>MESA DE JUNTAS</t>
  </si>
  <si>
    <t>SILLAS INVITADOS</t>
  </si>
  <si>
    <t>LOKERS</t>
  </si>
  <si>
    <t>ARCHIVADOR</t>
  </si>
  <si>
    <t xml:space="preserve">TABLEROS ACRILICOS- GERENCIA </t>
  </si>
  <si>
    <t>TABLEROS ACRILICOS- AREA PRODUCCION Y VENTAS</t>
  </si>
  <si>
    <t>HORNO MICROONDAS</t>
  </si>
  <si>
    <t>JUEGO DE SILLAS CARLA Y MESA MADERA CAFÉ BAR</t>
  </si>
  <si>
    <t>Greca Para tinto</t>
  </si>
  <si>
    <t>Camioneta Turbo</t>
  </si>
  <si>
    <t>SISTEMA CONTABLE</t>
  </si>
  <si>
    <t>110v Seguridad Kit De Placa De Control De Acceso Al personal</t>
  </si>
  <si>
    <t>Sistema de Vigilancia Electonico y Video</t>
  </si>
  <si>
    <t>Licencias de Funcionamiento Licencias windows y office</t>
  </si>
  <si>
    <t>Impresoras- Laser</t>
  </si>
  <si>
    <t>Red Local  Internet</t>
  </si>
  <si>
    <t>EFECTIVO Y MATERIAS PRIMAS  + NOMINA 3 PRIMEROS MESES   (Cap. de Trab.)</t>
  </si>
  <si>
    <t>MAQUINARIA Y EQUIPO           (Inv. Inicial)</t>
  </si>
  <si>
    <t>VEHICULOS                                 (Inv. Inicial)</t>
  </si>
  <si>
    <t>MUEBLES Y ENCERES              (Inv. Inicial)</t>
  </si>
  <si>
    <t>TECNOLOGIA                              (Inv. Inicial)</t>
  </si>
  <si>
    <t>GASTOS Preoperativos            (Cap. de Tr.)</t>
  </si>
  <si>
    <t>Construcciones y Obras civiles   (Inv. Inicial)</t>
  </si>
  <si>
    <t>G</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</si>
</sst>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_([$$-240A]\ * #,##0_);_([$$-240A]\ * \(#,##0\);_([$$-240A]\ * &quot;-&quot;??_);_(@_)"/>
    <numFmt numFmtId="195" formatCode="0.0%"/>
    <numFmt numFmtId="196" formatCode="&quot;$&quot;\ #,##0"/>
    <numFmt numFmtId="197" formatCode="&quot;$&quot;\ #,##0.00"/>
    <numFmt numFmtId="198" formatCode="#,##0.00_ ;[Red]\-#,##0.00\ "/>
    <numFmt numFmtId="199" formatCode="0.0"/>
    <numFmt numFmtId="200" formatCode="&quot;$&quot;\ #.##0.00"/>
    <numFmt numFmtId="201" formatCode="&quot;$&quot;#,##0.00"/>
    <numFmt numFmtId="202" formatCode="0.000"/>
    <numFmt numFmtId="203" formatCode="0.0000"/>
    <numFmt numFmtId="204" formatCode="0.00000"/>
    <numFmt numFmtId="205" formatCode="0.000000"/>
    <numFmt numFmtId="206" formatCode="_(&quot;$&quot;\ * #,##0.0_);_(&quot;$&quot;\ * \(#,##0.0\);_(&quot;$&quot;\ * &quot;-&quot;??_);_(@_)"/>
    <numFmt numFmtId="207" formatCode="_-&quot;$&quot;* #,##0.0_-;\-&quot;$&quot;* #,##0.0_-;_-&quot;$&quot;* &quot;-&quot;?_-;_-@_-"/>
    <numFmt numFmtId="208" formatCode="_-* #,##0.0_-;\-* #,##0.0_-;_-* &quot;-&quot;_-;_-@_-"/>
    <numFmt numFmtId="209" formatCode="_-* #,##0.00_-;\-* #,##0.00_-;_-* &quot;-&quot;_-;_-@_-"/>
    <numFmt numFmtId="210" formatCode="_-* #,##0.000_-;\-* #,##0.000_-;_-* &quot;-&quot;_-;_-@_-"/>
    <numFmt numFmtId="211" formatCode="_-* #,##0.0000_-;\-* #,##0.0000_-;_-* &quot;-&quot;_-;_-@_-"/>
    <numFmt numFmtId="212" formatCode="_(&quot;$&quot;\ * #,##0.0_);_(&quot;$&quot;\ * \(#,##0.0\);_(&quot;$&quot;\ * &quot;-&quot;_);_(@_)"/>
    <numFmt numFmtId="213" formatCode="_(&quot;$&quot;\ * #,##0.00_);_(&quot;$&quot;\ * \(#,##0.00\);_(&quot;$&quot;\ * &quot;-&quot;_);_(@_)"/>
    <numFmt numFmtId="214" formatCode="0.000%"/>
    <numFmt numFmtId="215" formatCode="0.0000%"/>
    <numFmt numFmtId="216" formatCode="&quot;$&quot;\ #,##0.00;[Red]&quot;$&quot;\ #,##0.00"/>
    <numFmt numFmtId="217" formatCode="_(* #,##0.0_);_(* \(#,##0.0\);_(* &quot;-&quot;_);_(@_)"/>
    <numFmt numFmtId="218" formatCode="_(* #,##0.00_);_(* \(#,##0.00\);_(* &quot;-&quot;_);_(@_)"/>
    <numFmt numFmtId="219" formatCode="&quot;Sí&quot;;&quot;Sí&quot;;&quot;No&quot;"/>
    <numFmt numFmtId="220" formatCode="&quot;Verdadero&quot;;&quot;Verdadero&quot;;&quot;Falso&quot;"/>
    <numFmt numFmtId="221" formatCode="&quot;Activado&quot;;&quot;Activado&quot;;&quot;Desactivado&quot;"/>
    <numFmt numFmtId="222" formatCode="[$€-2]\ #,##0.00_);[Red]\([$€-2]\ #,##0.00\)"/>
  </numFmts>
  <fonts count="122">
    <font>
      <sz val="11"/>
      <color theme="1"/>
      <name val="Calibri"/>
      <family val="2"/>
    </font>
    <font>
      <sz val="11"/>
      <color indexed="8"/>
      <name val="Calibri"/>
      <family val="2"/>
    </font>
    <font>
      <sz val="10"/>
      <name val="Arial"/>
      <family val="2"/>
    </font>
    <font>
      <b/>
      <sz val="9"/>
      <name val="Arial"/>
      <family val="2"/>
    </font>
    <font>
      <sz val="9"/>
      <name val="Arial"/>
      <family val="2"/>
    </font>
    <font>
      <sz val="11"/>
      <name val="Calibri"/>
      <family val="2"/>
    </font>
    <font>
      <b/>
      <sz val="11"/>
      <color indexed="8"/>
      <name val="Calibri"/>
      <family val="2"/>
    </font>
    <font>
      <b/>
      <sz val="11"/>
      <name val="Calibri"/>
      <family val="2"/>
    </font>
    <font>
      <b/>
      <sz val="9"/>
      <name val="Tahoma"/>
      <family val="2"/>
    </font>
    <font>
      <sz val="9"/>
      <name val="Tahoma"/>
      <family val="2"/>
    </font>
    <font>
      <sz val="8"/>
      <name val="Tahoma"/>
      <family val="2"/>
    </font>
    <font>
      <b/>
      <sz val="10"/>
      <name val="Arial"/>
      <family val="2"/>
    </font>
    <font>
      <b/>
      <sz val="12"/>
      <name val="Arial"/>
      <family val="2"/>
    </font>
    <font>
      <b/>
      <sz val="12"/>
      <color indexed="8"/>
      <name val="Calibri"/>
      <family val="2"/>
    </font>
    <font>
      <b/>
      <sz val="10"/>
      <color indexed="8"/>
      <name val="Calibri"/>
      <family val="2"/>
    </font>
    <font>
      <sz val="10"/>
      <color indexed="8"/>
      <name val="Calibri"/>
      <family val="2"/>
    </font>
    <font>
      <sz val="12"/>
      <color indexed="8"/>
      <name val="Arial"/>
      <family val="2"/>
    </font>
    <font>
      <sz val="12"/>
      <color indexed="40"/>
      <name val="Arial"/>
      <family val="2"/>
    </font>
    <font>
      <b/>
      <sz val="12"/>
      <color indexed="8"/>
      <name val="Arial"/>
      <family val="2"/>
    </font>
    <font>
      <b/>
      <sz val="12"/>
      <color indexed="40"/>
      <name val="Arial"/>
      <family val="2"/>
    </font>
    <font>
      <b/>
      <u val="single"/>
      <sz val="11"/>
      <color indexed="8"/>
      <name val="Calibri"/>
      <family val="2"/>
    </font>
    <font>
      <b/>
      <u val="single"/>
      <sz val="12"/>
      <color indexed="40"/>
      <name val="Arial"/>
      <family val="2"/>
    </font>
    <font>
      <u val="single"/>
      <sz val="11"/>
      <color indexed="8"/>
      <name val="Calibri"/>
      <family val="2"/>
    </font>
    <font>
      <sz val="11"/>
      <color indexed="17"/>
      <name val="Calibri"/>
      <family val="2"/>
    </font>
    <font>
      <b/>
      <sz val="12"/>
      <color indexed="17"/>
      <name val="Arial"/>
      <family val="2"/>
    </font>
    <font>
      <b/>
      <sz val="8"/>
      <name val="Arial"/>
      <family val="2"/>
    </font>
    <font>
      <sz val="8"/>
      <name val="Calibri"/>
      <family val="2"/>
    </font>
    <font>
      <b/>
      <sz val="8"/>
      <name val="Tahoma"/>
      <family val="2"/>
    </font>
    <font>
      <sz val="8"/>
      <color indexed="8"/>
      <name val="Calibri"/>
      <family val="2"/>
    </font>
    <font>
      <sz val="9"/>
      <color indexed="8"/>
      <name val="Calibri"/>
      <family val="2"/>
    </font>
    <font>
      <sz val="6"/>
      <color indexed="8"/>
      <name val="Calibri"/>
      <family val="2"/>
    </font>
    <font>
      <u val="single"/>
      <sz val="26"/>
      <color indexed="12"/>
      <name val="Calibri"/>
      <family val="2"/>
    </font>
    <font>
      <u val="single"/>
      <sz val="28"/>
      <color indexed="12"/>
      <name val="Calibri"/>
      <family val="2"/>
    </font>
    <font>
      <u val="single"/>
      <sz val="12"/>
      <color indexed="12"/>
      <name val="Calibri"/>
      <family val="2"/>
    </font>
    <font>
      <sz val="12"/>
      <color indexed="8"/>
      <name val="Calibri"/>
      <family val="2"/>
    </font>
    <font>
      <sz val="12"/>
      <name val="Arial"/>
      <family val="2"/>
    </font>
    <font>
      <sz val="12"/>
      <name val="Calibri"/>
      <family val="2"/>
    </font>
    <font>
      <b/>
      <sz val="8"/>
      <color indexed="8"/>
      <name val="Calibri"/>
      <family val="2"/>
    </font>
    <font>
      <b/>
      <sz val="20"/>
      <name val="Arial"/>
      <family val="2"/>
    </font>
    <font>
      <sz val="12"/>
      <name val="Tahoma"/>
      <family val="2"/>
    </font>
    <font>
      <sz val="12"/>
      <color indexed="12"/>
      <name val="Calibri"/>
      <family val="2"/>
    </font>
    <font>
      <b/>
      <sz val="12"/>
      <name val="Calibri"/>
      <family val="2"/>
    </font>
    <font>
      <b/>
      <i/>
      <sz val="12"/>
      <name val="Arial"/>
      <family val="2"/>
    </font>
    <font>
      <sz val="14"/>
      <name val="Tahoma"/>
      <family val="2"/>
    </font>
    <font>
      <u val="single"/>
      <sz val="20"/>
      <color indexed="12"/>
      <name val="Calibri"/>
      <family val="2"/>
    </font>
    <font>
      <sz val="10"/>
      <color indexed="10"/>
      <name val="Calibri"/>
      <family val="2"/>
    </font>
    <font>
      <u val="single"/>
      <sz val="10"/>
      <color indexed="8"/>
      <name val="Calibri"/>
      <family val="2"/>
    </font>
    <font>
      <sz val="12"/>
      <color indexed="9"/>
      <name val="Calibri"/>
      <family val="2"/>
    </font>
    <font>
      <b/>
      <sz val="12"/>
      <color indexed="9"/>
      <name val="Calibri"/>
      <family val="2"/>
    </font>
    <font>
      <sz val="10"/>
      <color indexed="8"/>
      <name val="Times New Roman"/>
      <family val="1"/>
    </font>
    <font>
      <sz val="12"/>
      <color indexed="8"/>
      <name val="Times New Roman"/>
      <family val="1"/>
    </font>
    <font>
      <b/>
      <sz val="9"/>
      <color indexed="8"/>
      <name val="Times New Roman"/>
      <family val="1"/>
    </font>
    <font>
      <sz val="9"/>
      <color indexed="8"/>
      <name val="Times New Roman"/>
      <family val="1"/>
    </font>
    <font>
      <b/>
      <sz val="10"/>
      <name val="Times New Roman"/>
      <family val="1"/>
    </font>
    <font>
      <sz val="10"/>
      <name val="Times New Roman"/>
      <family val="1"/>
    </font>
    <font>
      <sz val="9"/>
      <color indexed="63"/>
      <name val="Calibri"/>
      <family val="0"/>
    </font>
    <font>
      <sz val="11"/>
      <color indexed="9"/>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10"/>
      <name val="Calibri"/>
      <family val="2"/>
    </font>
    <font>
      <sz val="12"/>
      <color indexed="56"/>
      <name val="Calibri"/>
      <family val="2"/>
    </font>
    <font>
      <sz val="11"/>
      <color indexed="56"/>
      <name val="Calibri"/>
      <family val="2"/>
    </font>
    <font>
      <sz val="12"/>
      <color indexed="10"/>
      <name val="Calibri"/>
      <family val="2"/>
    </font>
    <font>
      <b/>
      <sz val="20"/>
      <color indexed="30"/>
      <name val="Calibri"/>
      <family val="2"/>
    </font>
    <font>
      <sz val="20"/>
      <color indexed="8"/>
      <name val="Calibri"/>
      <family val="2"/>
    </font>
    <font>
      <u val="single"/>
      <sz val="20"/>
      <color indexed="30"/>
      <name val="Calibri"/>
      <family val="2"/>
    </font>
    <font>
      <b/>
      <u val="single"/>
      <sz val="20"/>
      <color indexed="30"/>
      <name val="Calibri"/>
      <family val="2"/>
    </font>
    <font>
      <b/>
      <sz val="10"/>
      <name val="Calibri"/>
      <family val="2"/>
    </font>
    <font>
      <sz val="32"/>
      <color indexed="9"/>
      <name val="Calibri"/>
      <family val="0"/>
    </font>
    <font>
      <sz val="14"/>
      <color indexed="9"/>
      <name val="Calibri"/>
      <family val="0"/>
    </font>
    <font>
      <sz val="10"/>
      <color indexed="9"/>
      <name val="Calibri"/>
      <family val="0"/>
    </font>
    <font>
      <sz val="10.5"/>
      <color indexed="9"/>
      <name val="Calibri"/>
      <family val="0"/>
    </font>
    <font>
      <sz val="36"/>
      <color indexed="9"/>
      <name val="Calibri"/>
      <family val="0"/>
    </font>
    <font>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2"/>
      <color theme="1"/>
      <name val="Calibri"/>
      <family val="2"/>
    </font>
    <font>
      <sz val="10"/>
      <color theme="1"/>
      <name val="Calibri"/>
      <family val="2"/>
    </font>
    <font>
      <b/>
      <sz val="11"/>
      <color rgb="FFFF0000"/>
      <name val="Calibri"/>
      <family val="2"/>
    </font>
    <font>
      <sz val="6"/>
      <color theme="1"/>
      <name val="Calibri"/>
      <family val="2"/>
    </font>
    <font>
      <sz val="12"/>
      <color rgb="FF002060"/>
      <name val="Calibri"/>
      <family val="2"/>
    </font>
    <font>
      <sz val="11"/>
      <color rgb="FF002060"/>
      <name val="Calibri"/>
      <family val="2"/>
    </font>
    <font>
      <sz val="12"/>
      <color rgb="FFFF0000"/>
      <name val="Calibri"/>
      <family val="2"/>
    </font>
    <font>
      <b/>
      <sz val="20"/>
      <color rgb="FF0070C0"/>
      <name val="Calibri"/>
      <family val="2"/>
    </font>
    <font>
      <sz val="20"/>
      <color theme="1"/>
      <name val="Calibri"/>
      <family val="2"/>
    </font>
    <font>
      <sz val="12"/>
      <color theme="0"/>
      <name val="Calibri"/>
      <family val="2"/>
    </font>
    <font>
      <sz val="12"/>
      <color theme="1"/>
      <name val="Times New Roman"/>
      <family val="1"/>
    </font>
    <font>
      <sz val="10"/>
      <color theme="1"/>
      <name val="Times New Roman"/>
      <family val="1"/>
    </font>
    <font>
      <sz val="9"/>
      <color theme="1"/>
      <name val="Calibri"/>
      <family val="2"/>
    </font>
    <font>
      <u val="single"/>
      <sz val="20"/>
      <color rgb="FF0070C0"/>
      <name val="Calibri"/>
      <family val="2"/>
    </font>
    <font>
      <b/>
      <u val="single"/>
      <sz val="20"/>
      <color rgb="FF0070C0"/>
      <name val="Calibri"/>
      <family val="2"/>
    </font>
    <font>
      <b/>
      <sz val="8"/>
      <name val="Calibri"/>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6"/>
        <bgColor indexed="64"/>
      </patternFill>
    </fill>
    <fill>
      <patternFill patternType="solid">
        <fgColor theme="2"/>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51"/>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rgb="FF92D050"/>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rgb="FFFFFF00"/>
        <bgColor indexed="64"/>
      </patternFill>
    </fill>
    <fill>
      <patternFill patternType="solid">
        <fgColor theme="2" tint="-0.09996999800205231"/>
        <bgColor indexed="64"/>
      </patternFill>
    </fill>
    <fill>
      <patternFill patternType="solid">
        <fgColor rgb="FFFFC000"/>
        <bgColor indexed="64"/>
      </patternFill>
    </fill>
    <fill>
      <patternFill patternType="solid">
        <fgColor theme="1" tint="0.49998000264167786"/>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style="thin"/>
      <bottom style="thin"/>
    </border>
    <border>
      <left style="thin"/>
      <right style="thin"/>
      <top style="thin"/>
      <bottom style="medium"/>
    </border>
    <border>
      <left style="thin"/>
      <right style="thin"/>
      <top style="thin"/>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style="medium"/>
      <right style="medium"/>
      <top/>
      <bottom/>
    </border>
    <border>
      <left style="medium"/>
      <right style="medium"/>
      <top style="medium"/>
      <bottom style="medium"/>
    </border>
    <border>
      <left style="medium"/>
      <right style="thin"/>
      <top style="thin"/>
      <bottom style="medium"/>
    </border>
    <border>
      <left style="medium"/>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thin"/>
      <right style="medium"/>
      <top style="thin"/>
      <bottom>
        <color indexed="63"/>
      </bottom>
    </border>
    <border>
      <left style="medium"/>
      <right style="thin"/>
      <top style="medium"/>
      <bottom style="medium"/>
    </border>
    <border>
      <left style="medium"/>
      <right style="medium"/>
      <top/>
      <bottom style="medium"/>
    </border>
    <border>
      <left style="thin"/>
      <right style="medium"/>
      <top style="medium"/>
      <bottom style="thin"/>
    </border>
    <border>
      <left>
        <color indexed="63"/>
      </left>
      <right style="thin"/>
      <top style="thin"/>
      <bottom style="medium"/>
    </border>
    <border>
      <left style="medium"/>
      <right/>
      <top style="medium"/>
      <bottom/>
    </border>
    <border>
      <left/>
      <right style="medium"/>
      <top style="medium"/>
      <bottom/>
    </border>
    <border>
      <left/>
      <right/>
      <top style="medium"/>
      <bottom/>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color indexed="63"/>
      </top>
      <bottom style="thin"/>
    </border>
    <border>
      <left style="thin"/>
      <right style="medium"/>
      <top>
        <color indexed="63"/>
      </top>
      <bottom style="thin"/>
    </border>
    <border>
      <left style="thin"/>
      <right/>
      <top style="thin"/>
      <bottom style="thin"/>
    </border>
    <border>
      <left style="thin"/>
      <right/>
      <top style="thin"/>
      <bottom>
        <color indexed="63"/>
      </bottom>
    </border>
    <border>
      <left style="thin"/>
      <right/>
      <top>
        <color indexed="63"/>
      </top>
      <bottom style="thin"/>
    </border>
    <border>
      <left style="medium"/>
      <right style="medium"/>
      <top style="medium"/>
      <bottom style="thin"/>
    </border>
    <border>
      <left>
        <color indexed="63"/>
      </left>
      <right style="medium"/>
      <top style="thin"/>
      <bottom style="medium"/>
    </border>
    <border>
      <left style="double">
        <color indexed="40"/>
      </left>
      <right/>
      <top style="double">
        <color indexed="40"/>
      </top>
      <bottom/>
    </border>
    <border>
      <left/>
      <right/>
      <top style="double">
        <color indexed="40"/>
      </top>
      <bottom/>
    </border>
    <border>
      <left/>
      <right style="double">
        <color indexed="40"/>
      </right>
      <top style="double">
        <color indexed="40"/>
      </top>
      <bottom/>
    </border>
    <border>
      <left style="double">
        <color indexed="40"/>
      </left>
      <right/>
      <top/>
      <bottom style="double">
        <color indexed="40"/>
      </bottom>
    </border>
    <border>
      <left/>
      <right/>
      <top/>
      <bottom style="double">
        <color indexed="40"/>
      </bottom>
    </border>
    <border>
      <left/>
      <right style="double">
        <color indexed="40"/>
      </right>
      <top/>
      <bottom style="double">
        <color indexed="40"/>
      </bottom>
    </border>
    <border>
      <left style="medium"/>
      <right/>
      <top style="thin"/>
      <bottom style="thin"/>
    </border>
    <border>
      <left/>
      <right style="thin"/>
      <top style="thin"/>
      <bottom style="thin"/>
    </border>
    <border>
      <left style="medium"/>
      <right>
        <color indexed="63"/>
      </right>
      <top style="medium"/>
      <bottom style="thin"/>
    </border>
    <border>
      <left>
        <color indexed="63"/>
      </left>
      <right style="thin"/>
      <top style="medium"/>
      <bottom style="thin"/>
    </border>
    <border>
      <left>
        <color indexed="63"/>
      </left>
      <right style="thin"/>
      <top style="medium"/>
      <bottom style="medium"/>
    </border>
    <border>
      <left style="thin"/>
      <right>
        <color indexed="63"/>
      </right>
      <top style="medium"/>
      <bottom style="mediu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8" fillId="19" borderId="0" applyNumberFormat="0" applyBorder="0" applyAlignment="0" applyProtection="0"/>
    <xf numFmtId="0" fontId="89" fillId="20" borderId="1" applyNumberFormat="0" applyAlignment="0" applyProtection="0"/>
    <xf numFmtId="0" fontId="90" fillId="21" borderId="2" applyNumberFormat="0" applyAlignment="0" applyProtection="0"/>
    <xf numFmtId="0" fontId="91" fillId="0" borderId="3" applyNumberFormat="0" applyFill="0" applyAlignment="0" applyProtection="0"/>
    <xf numFmtId="0" fontId="92" fillId="0" borderId="4" applyNumberFormat="0" applyFill="0" applyAlignment="0" applyProtection="0"/>
    <xf numFmtId="0" fontId="93" fillId="0" borderId="0" applyNumberFormat="0" applyFill="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94" fillId="28" borderId="1"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98" fillId="30" borderId="0" applyNumberFormat="0" applyBorder="0" applyAlignment="0" applyProtection="0"/>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0" fontId="99" fillId="20" borderId="6"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7" applyNumberFormat="0" applyFill="0" applyAlignment="0" applyProtection="0"/>
    <xf numFmtId="0" fontId="93" fillId="0" borderId="8" applyNumberFormat="0" applyFill="0" applyAlignment="0" applyProtection="0"/>
    <xf numFmtId="0" fontId="104" fillId="0" borderId="9" applyNumberFormat="0" applyFill="0" applyAlignment="0" applyProtection="0"/>
  </cellStyleXfs>
  <cellXfs count="671">
    <xf numFmtId="0" fontId="0" fillId="0" borderId="0" xfId="0" applyFont="1" applyAlignment="1">
      <alignment/>
    </xf>
    <xf numFmtId="0" fontId="16" fillId="32" borderId="0" xfId="0" applyFont="1" applyFill="1" applyAlignment="1">
      <alignment/>
    </xf>
    <xf numFmtId="0" fontId="17" fillId="32" borderId="0" xfId="0" applyFont="1" applyFill="1" applyAlignment="1">
      <alignment/>
    </xf>
    <xf numFmtId="0" fontId="19" fillId="32" borderId="0" xfId="0" applyFont="1" applyFill="1" applyAlignment="1">
      <alignment horizontal="center" vertical="center"/>
    </xf>
    <xf numFmtId="0" fontId="21" fillId="32" borderId="0" xfId="46" applyFont="1" applyFill="1" applyAlignment="1" applyProtection="1">
      <alignment horizontal="center" vertical="center"/>
      <protection/>
    </xf>
    <xf numFmtId="0" fontId="0" fillId="32" borderId="0" xfId="0" applyFill="1" applyAlignment="1">
      <alignment/>
    </xf>
    <xf numFmtId="0" fontId="5" fillId="32" borderId="0" xfId="0" applyFont="1" applyFill="1" applyAlignment="1">
      <alignment/>
    </xf>
    <xf numFmtId="0" fontId="22" fillId="32" borderId="0" xfId="46" applyFont="1" applyFill="1" applyAlignment="1" applyProtection="1">
      <alignment/>
      <protection/>
    </xf>
    <xf numFmtId="0" fontId="95" fillId="32" borderId="0" xfId="46" applyFill="1" applyAlignment="1" applyProtection="1">
      <alignment/>
      <protection/>
    </xf>
    <xf numFmtId="0" fontId="95" fillId="32" borderId="0" xfId="46" applyFill="1" applyAlignment="1" applyProtection="1">
      <alignment/>
      <protection/>
    </xf>
    <xf numFmtId="0" fontId="0" fillId="33" borderId="10" xfId="0" applyFill="1" applyBorder="1" applyAlignment="1">
      <alignment/>
    </xf>
    <xf numFmtId="0" fontId="0" fillId="33" borderId="11" xfId="0" applyFill="1" applyBorder="1" applyAlignment="1">
      <alignment/>
    </xf>
    <xf numFmtId="0" fontId="0" fillId="34" borderId="0" xfId="0" applyFill="1" applyAlignment="1">
      <alignment/>
    </xf>
    <xf numFmtId="0" fontId="0" fillId="34" borderId="0" xfId="0" applyFill="1" applyAlignment="1">
      <alignment/>
    </xf>
    <xf numFmtId="0" fontId="0" fillId="34" borderId="0" xfId="0" applyFill="1" applyAlignment="1">
      <alignment horizontal="center"/>
    </xf>
    <xf numFmtId="4" fontId="2" fillId="33" borderId="12" xfId="54" applyNumberFormat="1" applyFill="1" applyBorder="1">
      <alignment/>
      <protection/>
    </xf>
    <xf numFmtId="4" fontId="2" fillId="33" borderId="13" xfId="54" applyNumberFormat="1" applyFill="1" applyBorder="1">
      <alignment/>
      <protection/>
    </xf>
    <xf numFmtId="4" fontId="2" fillId="33" borderId="10" xfId="54" applyNumberFormat="1" applyFill="1" applyBorder="1">
      <alignment/>
      <protection/>
    </xf>
    <xf numFmtId="197" fontId="2" fillId="33" borderId="14" xfId="54" applyNumberFormat="1" applyFill="1" applyBorder="1">
      <alignment/>
      <protection/>
    </xf>
    <xf numFmtId="197" fontId="2" fillId="33" borderId="15" xfId="54" applyNumberFormat="1" applyFill="1" applyBorder="1">
      <alignment/>
      <protection/>
    </xf>
    <xf numFmtId="0" fontId="23" fillId="34" borderId="0" xfId="0" applyFont="1" applyFill="1" applyAlignment="1">
      <alignment/>
    </xf>
    <xf numFmtId="0" fontId="11" fillId="34" borderId="0" xfId="0" applyFont="1" applyFill="1" applyAlignment="1">
      <alignment/>
    </xf>
    <xf numFmtId="197" fontId="25" fillId="34" borderId="0" xfId="0" applyNumberFormat="1" applyFont="1" applyFill="1" applyAlignment="1">
      <alignment/>
    </xf>
    <xf numFmtId="197" fontId="28" fillId="34" borderId="0" xfId="0" applyNumberFormat="1" applyFont="1" applyFill="1" applyAlignment="1">
      <alignment/>
    </xf>
    <xf numFmtId="197" fontId="0" fillId="34" borderId="0" xfId="0" applyNumberFormat="1" applyFill="1" applyAlignment="1">
      <alignment/>
    </xf>
    <xf numFmtId="197" fontId="25" fillId="33" borderId="16" xfId="0" applyNumberFormat="1" applyFont="1" applyFill="1" applyBorder="1" applyAlignment="1">
      <alignment/>
    </xf>
    <xf numFmtId="197" fontId="25" fillId="33" borderId="17" xfId="0" applyNumberFormat="1" applyFont="1" applyFill="1" applyBorder="1" applyAlignment="1">
      <alignment/>
    </xf>
    <xf numFmtId="197" fontId="28" fillId="33" borderId="17" xfId="0" applyNumberFormat="1" applyFont="1" applyFill="1" applyBorder="1" applyAlignment="1">
      <alignment/>
    </xf>
    <xf numFmtId="197" fontId="28" fillId="33" borderId="13" xfId="0" applyNumberFormat="1" applyFont="1" applyFill="1" applyBorder="1" applyAlignment="1">
      <alignment/>
    </xf>
    <xf numFmtId="197" fontId="25" fillId="33" borderId="18" xfId="0" applyNumberFormat="1" applyFont="1" applyFill="1" applyBorder="1" applyAlignment="1">
      <alignment/>
    </xf>
    <xf numFmtId="197" fontId="28" fillId="33" borderId="19" xfId="0" applyNumberFormat="1" applyFont="1" applyFill="1" applyBorder="1" applyAlignment="1">
      <alignment/>
    </xf>
    <xf numFmtId="176" fontId="28" fillId="34" borderId="0" xfId="0" applyNumberFormat="1" applyFont="1" applyFill="1" applyAlignment="1">
      <alignment/>
    </xf>
    <xf numFmtId="9" fontId="0" fillId="34" borderId="0" xfId="0" applyNumberFormat="1" applyFill="1" applyAlignment="1">
      <alignment/>
    </xf>
    <xf numFmtId="9" fontId="28" fillId="34" borderId="0" xfId="0" applyNumberFormat="1" applyFont="1" applyFill="1" applyAlignment="1">
      <alignment/>
    </xf>
    <xf numFmtId="176" fontId="30" fillId="34" borderId="0" xfId="0" applyNumberFormat="1" applyFont="1" applyFill="1" applyAlignment="1">
      <alignment/>
    </xf>
    <xf numFmtId="173" fontId="0" fillId="34" borderId="0" xfId="0" applyNumberFormat="1" applyFill="1" applyAlignment="1">
      <alignment/>
    </xf>
    <xf numFmtId="197" fontId="30" fillId="33" borderId="13" xfId="0" applyNumberFormat="1" applyFont="1" applyFill="1" applyBorder="1" applyAlignment="1">
      <alignment/>
    </xf>
    <xf numFmtId="197" fontId="0" fillId="35" borderId="0" xfId="0" applyNumberFormat="1" applyFill="1" applyAlignment="1">
      <alignment/>
    </xf>
    <xf numFmtId="197" fontId="11" fillId="35" borderId="0" xfId="0" applyNumberFormat="1" applyFont="1" applyFill="1" applyAlignment="1">
      <alignment/>
    </xf>
    <xf numFmtId="197" fontId="0" fillId="35" borderId="20" xfId="0" applyNumberFormat="1" applyFill="1" applyBorder="1" applyAlignment="1">
      <alignment/>
    </xf>
    <xf numFmtId="197" fontId="0" fillId="34" borderId="0" xfId="0" applyNumberFormat="1" applyFill="1" applyAlignment="1">
      <alignment/>
    </xf>
    <xf numFmtId="197" fontId="11" fillId="34" borderId="0" xfId="0" applyNumberFormat="1" applyFont="1" applyFill="1" applyAlignment="1">
      <alignment/>
    </xf>
    <xf numFmtId="197" fontId="30" fillId="34" borderId="0" xfId="0" applyNumberFormat="1" applyFont="1" applyFill="1" applyAlignment="1">
      <alignment/>
    </xf>
    <xf numFmtId="197" fontId="26" fillId="34" borderId="0" xfId="46" applyNumberFormat="1" applyFont="1" applyFill="1" applyAlignment="1" applyProtection="1">
      <alignment/>
      <protection/>
    </xf>
    <xf numFmtId="0" fontId="0" fillId="34" borderId="0" xfId="0" applyFill="1" applyAlignment="1">
      <alignment/>
    </xf>
    <xf numFmtId="0" fontId="0" fillId="34" borderId="21" xfId="0" applyFill="1" applyBorder="1" applyAlignment="1">
      <alignment/>
    </xf>
    <xf numFmtId="0" fontId="0" fillId="36" borderId="10" xfId="0" applyFill="1" applyBorder="1" applyAlignment="1">
      <alignment/>
    </xf>
    <xf numFmtId="176" fontId="87" fillId="37" borderId="22" xfId="51" applyFont="1" applyFill="1" applyBorder="1" applyAlignment="1">
      <alignment horizontal="center" vertical="center"/>
    </xf>
    <xf numFmtId="0" fontId="105" fillId="34" borderId="0" xfId="0" applyFont="1" applyFill="1" applyAlignment="1">
      <alignment/>
    </xf>
    <xf numFmtId="0" fontId="105" fillId="2" borderId="0" xfId="0" applyFont="1" applyFill="1" applyAlignment="1">
      <alignment/>
    </xf>
    <xf numFmtId="0" fontId="105" fillId="32" borderId="12" xfId="0" applyFont="1" applyFill="1" applyBorder="1" applyAlignment="1">
      <alignment/>
    </xf>
    <xf numFmtId="0" fontId="105" fillId="32" borderId="10" xfId="0" applyFont="1" applyFill="1" applyBorder="1" applyAlignment="1">
      <alignment/>
    </xf>
    <xf numFmtId="0" fontId="105" fillId="2" borderId="23" xfId="0" applyFont="1" applyFill="1" applyBorder="1" applyAlignment="1">
      <alignment/>
    </xf>
    <xf numFmtId="0" fontId="105" fillId="32" borderId="11" xfId="0" applyFont="1" applyFill="1" applyBorder="1" applyAlignment="1">
      <alignment/>
    </xf>
    <xf numFmtId="0" fontId="106" fillId="2" borderId="0" xfId="0" applyFont="1" applyFill="1" applyAlignment="1">
      <alignment/>
    </xf>
    <xf numFmtId="0" fontId="34" fillId="2" borderId="24" xfId="0" applyFont="1" applyFill="1" applyBorder="1" applyAlignment="1">
      <alignment/>
    </xf>
    <xf numFmtId="9" fontId="34" fillId="2" borderId="0" xfId="56" applyFont="1" applyFill="1" applyAlignment="1">
      <alignment/>
    </xf>
    <xf numFmtId="0" fontId="105" fillId="2" borderId="0" xfId="0" applyFont="1" applyFill="1" applyAlignment="1">
      <alignment vertical="top"/>
    </xf>
    <xf numFmtId="176" fontId="34" fillId="32" borderId="22" xfId="51" applyFont="1" applyFill="1" applyBorder="1" applyAlignment="1">
      <alignment/>
    </xf>
    <xf numFmtId="4" fontId="12" fillId="2" borderId="0" xfId="54" applyNumberFormat="1" applyFont="1" applyFill="1" applyAlignment="1">
      <alignment horizontal="center" vertical="justify"/>
      <protection/>
    </xf>
    <xf numFmtId="0" fontId="105" fillId="2" borderId="0" xfId="0" applyFont="1" applyFill="1" applyAlignment="1">
      <alignment/>
    </xf>
    <xf numFmtId="10" fontId="105" fillId="2" borderId="0" xfId="0" applyNumberFormat="1" applyFont="1" applyFill="1" applyAlignment="1">
      <alignment/>
    </xf>
    <xf numFmtId="0" fontId="105" fillId="32" borderId="23" xfId="0" applyFont="1" applyFill="1" applyBorder="1" applyAlignment="1">
      <alignment/>
    </xf>
    <xf numFmtId="0" fontId="13" fillId="2" borderId="0" xfId="0" applyFont="1" applyFill="1" applyAlignment="1">
      <alignment horizontal="center"/>
    </xf>
    <xf numFmtId="0" fontId="0" fillId="38" borderId="0" xfId="0" applyFill="1" applyAlignment="1">
      <alignment/>
    </xf>
    <xf numFmtId="0" fontId="0" fillId="39" borderId="13" xfId="0" applyFill="1" applyBorder="1" applyAlignment="1">
      <alignment horizontal="center"/>
    </xf>
    <xf numFmtId="0" fontId="0" fillId="9" borderId="13" xfId="0" applyFill="1" applyBorder="1" applyAlignment="1">
      <alignment horizontal="center"/>
    </xf>
    <xf numFmtId="0" fontId="0" fillId="40" borderId="13" xfId="0" applyFill="1" applyBorder="1" applyAlignment="1">
      <alignment horizontal="center"/>
    </xf>
    <xf numFmtId="175" fontId="5" fillId="33" borderId="13" xfId="50" applyFont="1" applyFill="1" applyBorder="1" applyAlignment="1">
      <alignment/>
    </xf>
    <xf numFmtId="175" fontId="5" fillId="36" borderId="13" xfId="50" applyFont="1" applyFill="1" applyBorder="1" applyAlignment="1">
      <alignment/>
    </xf>
    <xf numFmtId="175" fontId="5" fillId="33" borderId="14" xfId="50" applyFont="1" applyFill="1" applyBorder="1" applyAlignment="1">
      <alignment/>
    </xf>
    <xf numFmtId="175" fontId="0" fillId="33" borderId="13" xfId="50" applyFont="1" applyFill="1" applyBorder="1" applyAlignment="1">
      <alignment/>
    </xf>
    <xf numFmtId="175" fontId="0" fillId="36" borderId="13" xfId="50" applyFont="1" applyFill="1" applyBorder="1" applyAlignment="1">
      <alignment/>
    </xf>
    <xf numFmtId="176" fontId="37" fillId="11" borderId="22" xfId="51" applyFont="1" applyFill="1" applyBorder="1" applyAlignment="1">
      <alignment/>
    </xf>
    <xf numFmtId="0" fontId="0" fillId="11" borderId="22" xfId="0" applyFill="1" applyBorder="1" applyAlignment="1">
      <alignment/>
    </xf>
    <xf numFmtId="0" fontId="0" fillId="11" borderId="25" xfId="0" applyFill="1" applyBorder="1" applyAlignment="1">
      <alignment/>
    </xf>
    <xf numFmtId="0" fontId="0" fillId="11" borderId="26" xfId="0" applyFill="1" applyBorder="1" applyAlignment="1">
      <alignment/>
    </xf>
    <xf numFmtId="176" fontId="14" fillId="11" borderId="27" xfId="51" applyFont="1" applyFill="1" applyBorder="1" applyAlignment="1">
      <alignment/>
    </xf>
    <xf numFmtId="197" fontId="28" fillId="33" borderId="10" xfId="0" applyNumberFormat="1" applyFont="1" applyFill="1" applyBorder="1" applyAlignment="1">
      <alignment/>
    </xf>
    <xf numFmtId="197" fontId="26" fillId="33" borderId="10" xfId="46" applyNumberFormat="1" applyFont="1" applyFill="1" applyBorder="1" applyAlignment="1" applyProtection="1">
      <alignment/>
      <protection/>
    </xf>
    <xf numFmtId="0" fontId="0" fillId="41" borderId="0" xfId="0" applyFill="1" applyAlignment="1">
      <alignment/>
    </xf>
    <xf numFmtId="0" fontId="0" fillId="41" borderId="0" xfId="0" applyFill="1" applyAlignment="1">
      <alignment/>
    </xf>
    <xf numFmtId="0" fontId="105" fillId="32" borderId="10" xfId="0" applyFont="1" applyFill="1" applyBorder="1" applyAlignment="1">
      <alignment/>
    </xf>
    <xf numFmtId="0" fontId="107" fillId="2" borderId="0" xfId="0" applyFont="1" applyFill="1" applyAlignment="1">
      <alignment/>
    </xf>
    <xf numFmtId="0" fontId="105" fillId="2" borderId="0" xfId="0" applyFont="1" applyFill="1" applyAlignment="1">
      <alignment horizontal="left"/>
    </xf>
    <xf numFmtId="0" fontId="35" fillId="2" borderId="12" xfId="0" applyFont="1" applyFill="1" applyBorder="1" applyAlignment="1" applyProtection="1">
      <alignment horizontal="left" shrinkToFit="1"/>
      <protection locked="0"/>
    </xf>
    <xf numFmtId="0" fontId="35" fillId="2" borderId="28" xfId="0" applyFont="1" applyFill="1" applyBorder="1" applyAlignment="1" applyProtection="1">
      <alignment horizontal="left" shrinkToFit="1"/>
      <protection locked="0"/>
    </xf>
    <xf numFmtId="194" fontId="36" fillId="32" borderId="29" xfId="0" applyNumberFormat="1" applyFont="1" applyFill="1" applyBorder="1" applyAlignment="1">
      <alignment/>
    </xf>
    <xf numFmtId="0" fontId="13" fillId="2" borderId="30" xfId="0" applyFont="1" applyFill="1" applyBorder="1" applyAlignment="1">
      <alignment/>
    </xf>
    <xf numFmtId="174" fontId="105" fillId="32" borderId="22" xfId="52" applyFont="1" applyFill="1" applyBorder="1" applyAlignment="1">
      <alignment/>
    </xf>
    <xf numFmtId="174" fontId="105" fillId="32" borderId="31" xfId="52" applyFont="1" applyFill="1" applyBorder="1" applyAlignment="1">
      <alignment/>
    </xf>
    <xf numFmtId="174" fontId="105" fillId="32" borderId="10" xfId="52" applyFont="1" applyFill="1" applyBorder="1" applyAlignment="1">
      <alignment/>
    </xf>
    <xf numFmtId="174" fontId="105" fillId="32" borderId="10" xfId="52" applyFont="1" applyFill="1" applyBorder="1" applyAlignment="1">
      <alignment/>
    </xf>
    <xf numFmtId="174" fontId="105" fillId="32" borderId="11" xfId="52" applyFont="1" applyFill="1" applyBorder="1" applyAlignment="1">
      <alignment/>
    </xf>
    <xf numFmtId="0" fontId="105" fillId="2" borderId="0" xfId="0" applyFont="1" applyFill="1" applyAlignment="1">
      <alignment/>
    </xf>
    <xf numFmtId="0" fontId="95" fillId="34" borderId="0" xfId="46" applyFill="1" applyAlignment="1" applyProtection="1">
      <alignment/>
      <protection/>
    </xf>
    <xf numFmtId="0" fontId="0" fillId="39" borderId="15" xfId="0" applyFill="1" applyBorder="1" applyAlignment="1">
      <alignment horizontal="center"/>
    </xf>
    <xf numFmtId="2" fontId="0" fillId="42" borderId="22" xfId="0" applyNumberFormat="1" applyFill="1" applyBorder="1" applyAlignment="1">
      <alignment/>
    </xf>
    <xf numFmtId="8" fontId="0" fillId="41" borderId="0" xfId="0" applyNumberFormat="1" applyFill="1" applyAlignment="1">
      <alignment/>
    </xf>
    <xf numFmtId="0" fontId="32" fillId="34" borderId="0" xfId="46" applyFont="1" applyFill="1" applyAlignment="1" applyProtection="1">
      <alignment horizontal="center" wrapText="1"/>
      <protection/>
    </xf>
    <xf numFmtId="0" fontId="0" fillId="43" borderId="12" xfId="0" applyFill="1" applyBorder="1" applyAlignment="1">
      <alignment/>
    </xf>
    <xf numFmtId="0" fontId="0" fillId="43" borderId="10" xfId="0" applyFill="1" applyBorder="1" applyAlignment="1">
      <alignment/>
    </xf>
    <xf numFmtId="0" fontId="0" fillId="43" borderId="12" xfId="0" applyFill="1" applyBorder="1" applyAlignment="1">
      <alignment/>
    </xf>
    <xf numFmtId="174" fontId="105" fillId="43" borderId="10" xfId="52" applyFont="1" applyFill="1" applyBorder="1" applyAlignment="1">
      <alignment/>
    </xf>
    <xf numFmtId="174" fontId="105" fillId="43" borderId="11" xfId="52" applyFont="1" applyFill="1" applyBorder="1" applyAlignment="1">
      <alignment/>
    </xf>
    <xf numFmtId="0" fontId="105" fillId="44" borderId="0" xfId="0" applyFont="1" applyFill="1" applyAlignment="1">
      <alignment/>
    </xf>
    <xf numFmtId="0" fontId="105" fillId="2" borderId="0" xfId="0" applyFont="1" applyFill="1" applyAlignment="1">
      <alignment wrapText="1"/>
    </xf>
    <xf numFmtId="10" fontId="34" fillId="44" borderId="0" xfId="56" applyNumberFormat="1" applyFont="1" applyFill="1" applyAlignment="1">
      <alignment/>
    </xf>
    <xf numFmtId="174" fontId="105" fillId="32" borderId="32" xfId="52" applyFont="1" applyFill="1" applyBorder="1" applyAlignment="1">
      <alignment/>
    </xf>
    <xf numFmtId="174" fontId="36" fillId="32" borderId="10" xfId="52" applyFont="1" applyFill="1" applyBorder="1" applyAlignment="1">
      <alignment/>
    </xf>
    <xf numFmtId="195" fontId="34" fillId="32" borderId="33" xfId="56" applyNumberFormat="1" applyFont="1" applyFill="1" applyBorder="1" applyAlignment="1">
      <alignment/>
    </xf>
    <xf numFmtId="197" fontId="25" fillId="43" borderId="16" xfId="0" applyNumberFormat="1" applyFont="1" applyFill="1" applyBorder="1" applyAlignment="1">
      <alignment/>
    </xf>
    <xf numFmtId="197" fontId="28" fillId="43" borderId="17" xfId="0" applyNumberFormat="1" applyFont="1" applyFill="1" applyBorder="1" applyAlignment="1">
      <alignment/>
    </xf>
    <xf numFmtId="197" fontId="0" fillId="43" borderId="0" xfId="0" applyNumberFormat="1" applyFill="1" applyAlignment="1">
      <alignment/>
    </xf>
    <xf numFmtId="197" fontId="25" fillId="43" borderId="17" xfId="0" applyNumberFormat="1" applyFont="1" applyFill="1" applyBorder="1" applyAlignment="1">
      <alignment/>
    </xf>
    <xf numFmtId="197" fontId="11" fillId="43" borderId="0" xfId="0" applyNumberFormat="1" applyFont="1" applyFill="1" applyAlignment="1">
      <alignment/>
    </xf>
    <xf numFmtId="197" fontId="28" fillId="43" borderId="13" xfId="0" applyNumberFormat="1" applyFont="1" applyFill="1" applyBorder="1" applyAlignment="1">
      <alignment/>
    </xf>
    <xf numFmtId="197" fontId="28" fillId="43" borderId="10" xfId="0" applyNumberFormat="1" applyFont="1" applyFill="1" applyBorder="1" applyAlignment="1">
      <alignment/>
    </xf>
    <xf numFmtId="197" fontId="30" fillId="43" borderId="13" xfId="0" applyNumberFormat="1" applyFont="1" applyFill="1" applyBorder="1" applyAlignment="1">
      <alignment/>
    </xf>
    <xf numFmtId="197" fontId="26" fillId="43" borderId="10" xfId="46" applyNumberFormat="1" applyFont="1" applyFill="1" applyBorder="1" applyAlignment="1" applyProtection="1">
      <alignment/>
      <protection/>
    </xf>
    <xf numFmtId="197" fontId="25" fillId="43" borderId="18" xfId="0" applyNumberFormat="1" applyFont="1" applyFill="1" applyBorder="1" applyAlignment="1">
      <alignment/>
    </xf>
    <xf numFmtId="197" fontId="28" fillId="43" borderId="19" xfId="0" applyNumberFormat="1" applyFont="1" applyFill="1" applyBorder="1" applyAlignment="1">
      <alignment/>
    </xf>
    <xf numFmtId="197" fontId="0" fillId="43" borderId="20" xfId="0" applyNumberFormat="1" applyFill="1" applyBorder="1" applyAlignment="1">
      <alignment/>
    </xf>
    <xf numFmtId="197" fontId="25" fillId="43" borderId="34" xfId="0" applyNumberFormat="1" applyFont="1" applyFill="1" applyBorder="1" applyAlignment="1">
      <alignment/>
    </xf>
    <xf numFmtId="197" fontId="28" fillId="43" borderId="35" xfId="0" applyNumberFormat="1" applyFont="1" applyFill="1" applyBorder="1" applyAlignment="1">
      <alignment/>
    </xf>
    <xf numFmtId="197" fontId="0" fillId="43" borderId="36" xfId="0" applyNumberFormat="1" applyFill="1" applyBorder="1" applyAlignment="1">
      <alignment/>
    </xf>
    <xf numFmtId="197" fontId="15" fillId="43" borderId="10" xfId="0" applyNumberFormat="1" applyFont="1" applyFill="1" applyBorder="1" applyAlignment="1">
      <alignment/>
    </xf>
    <xf numFmtId="197" fontId="28" fillId="43" borderId="0" xfId="0" applyNumberFormat="1" applyFont="1" applyFill="1" applyAlignment="1">
      <alignment/>
    </xf>
    <xf numFmtId="197" fontId="25" fillId="43" borderId="35" xfId="0" applyNumberFormat="1" applyFont="1" applyFill="1" applyBorder="1" applyAlignment="1">
      <alignment/>
    </xf>
    <xf numFmtId="197" fontId="30" fillId="43" borderId="10" xfId="0" applyNumberFormat="1" applyFont="1" applyFill="1" applyBorder="1" applyAlignment="1">
      <alignment/>
    </xf>
    <xf numFmtId="197" fontId="28" fillId="33" borderId="0" xfId="0" applyNumberFormat="1" applyFont="1" applyFill="1" applyAlignment="1">
      <alignment/>
    </xf>
    <xf numFmtId="197" fontId="25" fillId="33" borderId="34" xfId="0" applyNumberFormat="1" applyFont="1" applyFill="1" applyBorder="1" applyAlignment="1">
      <alignment/>
    </xf>
    <xf numFmtId="197" fontId="28" fillId="33" borderId="35" xfId="0" applyNumberFormat="1" applyFont="1" applyFill="1" applyBorder="1" applyAlignment="1">
      <alignment/>
    </xf>
    <xf numFmtId="197" fontId="30" fillId="33" borderId="10" xfId="0" applyNumberFormat="1" applyFont="1" applyFill="1" applyBorder="1" applyAlignment="1">
      <alignment/>
    </xf>
    <xf numFmtId="0" fontId="5" fillId="34" borderId="0" xfId="0" applyFont="1" applyFill="1" applyAlignment="1">
      <alignment/>
    </xf>
    <xf numFmtId="0" fontId="5" fillId="34" borderId="0" xfId="0" applyFont="1" applyFill="1" applyAlignment="1">
      <alignment/>
    </xf>
    <xf numFmtId="0" fontId="0" fillId="43" borderId="24" xfId="0" applyFill="1" applyBorder="1" applyAlignment="1">
      <alignment/>
    </xf>
    <xf numFmtId="197" fontId="0" fillId="43" borderId="32" xfId="0" applyNumberFormat="1" applyFill="1" applyBorder="1" applyAlignment="1">
      <alignment/>
    </xf>
    <xf numFmtId="0" fontId="11" fillId="43" borderId="12" xfId="0" applyFont="1" applyFill="1" applyBorder="1" applyAlignment="1">
      <alignment/>
    </xf>
    <xf numFmtId="197" fontId="0" fillId="43" borderId="10" xfId="0" applyNumberFormat="1" applyFill="1" applyBorder="1" applyAlignment="1">
      <alignment/>
    </xf>
    <xf numFmtId="197" fontId="0" fillId="43" borderId="10" xfId="0" applyNumberFormat="1" applyFill="1" applyBorder="1" applyAlignment="1">
      <alignment vertical="center"/>
    </xf>
    <xf numFmtId="0" fontId="0" fillId="43" borderId="23" xfId="0" applyFill="1" applyBorder="1" applyAlignment="1">
      <alignment/>
    </xf>
    <xf numFmtId="197" fontId="0" fillId="43" borderId="11" xfId="0" applyNumberFormat="1" applyFill="1" applyBorder="1" applyAlignment="1">
      <alignment/>
    </xf>
    <xf numFmtId="197" fontId="0" fillId="43" borderId="10" xfId="0" applyNumberFormat="1" applyFill="1" applyBorder="1" applyAlignment="1">
      <alignment horizontal="right" vertical="center"/>
    </xf>
    <xf numFmtId="0" fontId="11" fillId="43" borderId="12" xfId="0" applyFont="1" applyFill="1" applyBorder="1" applyAlignment="1">
      <alignment/>
    </xf>
    <xf numFmtId="0" fontId="3" fillId="43" borderId="12" xfId="0" applyFont="1" applyFill="1" applyBorder="1" applyAlignment="1">
      <alignment wrapText="1"/>
    </xf>
    <xf numFmtId="0" fontId="0" fillId="43" borderId="28" xfId="0" applyFill="1" applyBorder="1" applyAlignment="1">
      <alignment/>
    </xf>
    <xf numFmtId="197" fontId="0" fillId="43" borderId="15" xfId="0" applyNumberFormat="1" applyFill="1" applyBorder="1" applyAlignment="1">
      <alignment/>
    </xf>
    <xf numFmtId="197" fontId="0" fillId="43" borderId="29" xfId="0" applyNumberFormat="1" applyFill="1" applyBorder="1" applyAlignment="1">
      <alignment/>
    </xf>
    <xf numFmtId="197" fontId="0" fillId="43" borderId="37" xfId="0" applyNumberFormat="1" applyFill="1" applyBorder="1" applyAlignment="1">
      <alignment/>
    </xf>
    <xf numFmtId="0" fontId="7" fillId="45" borderId="38" xfId="0" applyFont="1" applyFill="1" applyBorder="1" applyAlignment="1">
      <alignment/>
    </xf>
    <xf numFmtId="197" fontId="7" fillId="45" borderId="39" xfId="0" applyNumberFormat="1" applyFont="1" applyFill="1" applyBorder="1" applyAlignment="1">
      <alignment/>
    </xf>
    <xf numFmtId="197" fontId="7" fillId="45" borderId="40" xfId="0" applyNumberFormat="1" applyFont="1" applyFill="1" applyBorder="1" applyAlignment="1">
      <alignment/>
    </xf>
    <xf numFmtId="0" fontId="7" fillId="45" borderId="41" xfId="0" applyFont="1" applyFill="1" applyBorder="1" applyAlignment="1">
      <alignment/>
    </xf>
    <xf numFmtId="197" fontId="7" fillId="45" borderId="42" xfId="0" applyNumberFormat="1" applyFont="1" applyFill="1" applyBorder="1" applyAlignment="1">
      <alignment/>
    </xf>
    <xf numFmtId="197" fontId="7" fillId="45" borderId="43" xfId="0" applyNumberFormat="1" applyFont="1" applyFill="1" applyBorder="1" applyAlignment="1">
      <alignment/>
    </xf>
    <xf numFmtId="197" fontId="0" fillId="43" borderId="13" xfId="0" applyNumberFormat="1" applyFill="1" applyBorder="1" applyAlignment="1">
      <alignment/>
    </xf>
    <xf numFmtId="197" fontId="0" fillId="43" borderId="14" xfId="0" applyNumberFormat="1" applyFill="1" applyBorder="1" applyAlignment="1">
      <alignment/>
    </xf>
    <xf numFmtId="0" fontId="0" fillId="43" borderId="44" xfId="0" applyFill="1" applyBorder="1" applyAlignment="1">
      <alignment/>
    </xf>
    <xf numFmtId="197" fontId="0" fillId="43" borderId="44" xfId="0" applyNumberFormat="1" applyFill="1" applyBorder="1" applyAlignment="1">
      <alignment/>
    </xf>
    <xf numFmtId="0" fontId="104" fillId="45" borderId="30" xfId="0" applyFont="1" applyFill="1" applyBorder="1" applyAlignment="1">
      <alignment/>
    </xf>
    <xf numFmtId="197" fontId="104" fillId="45" borderId="45" xfId="0" applyNumberFormat="1" applyFont="1" applyFill="1" applyBorder="1" applyAlignment="1">
      <alignment/>
    </xf>
    <xf numFmtId="197" fontId="104" fillId="45" borderId="46" xfId="0" applyNumberFormat="1" applyFont="1" applyFill="1" applyBorder="1" applyAlignment="1">
      <alignment/>
    </xf>
    <xf numFmtId="0" fontId="11" fillId="45" borderId="24" xfId="0" applyFont="1" applyFill="1" applyBorder="1" applyAlignment="1">
      <alignment/>
    </xf>
    <xf numFmtId="10" fontId="11" fillId="45" borderId="32" xfId="0" applyNumberFormat="1" applyFont="1" applyFill="1" applyBorder="1" applyAlignment="1">
      <alignment/>
    </xf>
    <xf numFmtId="0" fontId="11" fillId="45" borderId="12" xfId="0" applyFont="1" applyFill="1" applyBorder="1" applyAlignment="1">
      <alignment/>
    </xf>
    <xf numFmtId="181" fontId="11" fillId="45" borderId="10" xfId="0" applyNumberFormat="1" applyFont="1" applyFill="1" applyBorder="1" applyAlignment="1">
      <alignment/>
    </xf>
    <xf numFmtId="0" fontId="11" fillId="45" borderId="28" xfId="0" applyFont="1" applyFill="1" applyBorder="1" applyAlignment="1">
      <alignment/>
    </xf>
    <xf numFmtId="198" fontId="11" fillId="45" borderId="29" xfId="0" applyNumberFormat="1" applyFont="1" applyFill="1" applyBorder="1" applyAlignment="1">
      <alignment/>
    </xf>
    <xf numFmtId="173" fontId="0" fillId="45" borderId="10" xfId="0" applyNumberFormat="1" applyFill="1" applyBorder="1" applyAlignment="1">
      <alignment/>
    </xf>
    <xf numFmtId="0" fontId="11" fillId="45" borderId="23" xfId="0" applyFont="1" applyFill="1" applyBorder="1" applyAlignment="1">
      <alignment/>
    </xf>
    <xf numFmtId="173" fontId="0" fillId="45" borderId="11" xfId="0" applyNumberFormat="1" applyFill="1" applyBorder="1" applyAlignment="1">
      <alignment/>
    </xf>
    <xf numFmtId="0" fontId="0" fillId="11" borderId="18" xfId="0" applyFill="1" applyBorder="1" applyAlignment="1">
      <alignment/>
    </xf>
    <xf numFmtId="0" fontId="0" fillId="11" borderId="20" xfId="0" applyFill="1" applyBorder="1" applyAlignment="1">
      <alignment/>
    </xf>
    <xf numFmtId="0" fontId="0" fillId="11" borderId="31" xfId="0" applyFill="1" applyBorder="1" applyAlignment="1">
      <alignment/>
    </xf>
    <xf numFmtId="176" fontId="37" fillId="11" borderId="31" xfId="51" applyFont="1" applyFill="1" applyBorder="1" applyAlignment="1">
      <alignment/>
    </xf>
    <xf numFmtId="175" fontId="107" fillId="33" borderId="13" xfId="50" applyFont="1" applyFill="1" applyBorder="1" applyAlignment="1">
      <alignment/>
    </xf>
    <xf numFmtId="174" fontId="107" fillId="43" borderId="13" xfId="52" applyFont="1" applyFill="1" applyBorder="1" applyAlignment="1">
      <alignment/>
    </xf>
    <xf numFmtId="0" fontId="107" fillId="43" borderId="12" xfId="0" applyFont="1" applyFill="1" applyBorder="1" applyAlignment="1">
      <alignment/>
    </xf>
    <xf numFmtId="0" fontId="107" fillId="43" borderId="13" xfId="0" applyFont="1" applyFill="1" applyBorder="1" applyAlignment="1">
      <alignment/>
    </xf>
    <xf numFmtId="175" fontId="107" fillId="43" borderId="13" xfId="50" applyFont="1" applyFill="1" applyBorder="1" applyAlignment="1">
      <alignment/>
    </xf>
    <xf numFmtId="176" fontId="15" fillId="43" borderId="10" xfId="51" applyFont="1" applyFill="1" applyBorder="1" applyAlignment="1">
      <alignment/>
    </xf>
    <xf numFmtId="0" fontId="107" fillId="43" borderId="28" xfId="0" applyFont="1" applyFill="1" applyBorder="1" applyAlignment="1">
      <alignment/>
    </xf>
    <xf numFmtId="0" fontId="107" fillId="43" borderId="15" xfId="0" applyFont="1" applyFill="1" applyBorder="1" applyAlignment="1">
      <alignment/>
    </xf>
    <xf numFmtId="174" fontId="107" fillId="43" borderId="15" xfId="52" applyFont="1" applyFill="1" applyBorder="1" applyAlignment="1">
      <alignment/>
    </xf>
    <xf numFmtId="176" fontId="15" fillId="43" borderId="29" xfId="51" applyFont="1" applyFill="1" applyBorder="1" applyAlignment="1">
      <alignment/>
    </xf>
    <xf numFmtId="0" fontId="107" fillId="33" borderId="13" xfId="0" applyFont="1" applyFill="1" applyBorder="1" applyAlignment="1">
      <alignment/>
    </xf>
    <xf numFmtId="174" fontId="107" fillId="33" borderId="13" xfId="52" applyFont="1" applyFill="1" applyBorder="1" applyAlignment="1">
      <alignment/>
    </xf>
    <xf numFmtId="0" fontId="107" fillId="33" borderId="15" xfId="0" applyFont="1" applyFill="1" applyBorder="1" applyAlignment="1">
      <alignment/>
    </xf>
    <xf numFmtId="2" fontId="107" fillId="43" borderId="13" xfId="0" applyNumberFormat="1" applyFont="1" applyFill="1" applyBorder="1" applyAlignment="1">
      <alignment/>
    </xf>
    <xf numFmtId="0" fontId="107" fillId="43" borderId="23" xfId="0" applyFont="1" applyFill="1" applyBorder="1" applyAlignment="1">
      <alignment/>
    </xf>
    <xf numFmtId="0" fontId="107" fillId="43" borderId="14" xfId="0" applyFont="1" applyFill="1" applyBorder="1" applyAlignment="1">
      <alignment/>
    </xf>
    <xf numFmtId="176" fontId="15" fillId="43" borderId="11" xfId="51" applyFont="1" applyFill="1" applyBorder="1" applyAlignment="1">
      <alignment/>
    </xf>
    <xf numFmtId="0" fontId="107" fillId="33" borderId="12" xfId="0" applyFont="1" applyFill="1" applyBorder="1" applyAlignment="1">
      <alignment/>
    </xf>
    <xf numFmtId="176" fontId="15" fillId="33" borderId="10" xfId="51" applyFont="1" applyFill="1" applyBorder="1" applyAlignment="1">
      <alignment/>
    </xf>
    <xf numFmtId="0" fontId="107" fillId="33" borderId="28" xfId="0" applyFont="1" applyFill="1" applyBorder="1" applyAlignment="1">
      <alignment/>
    </xf>
    <xf numFmtId="176" fontId="15" fillId="33" borderId="29" xfId="51" applyFont="1" applyFill="1" applyBorder="1" applyAlignment="1">
      <alignment/>
    </xf>
    <xf numFmtId="0" fontId="0" fillId="43" borderId="47" xfId="0" applyFill="1" applyBorder="1" applyAlignment="1">
      <alignment horizontal="center"/>
    </xf>
    <xf numFmtId="0" fontId="0" fillId="43" borderId="48" xfId="0" applyFill="1" applyBorder="1" applyAlignment="1">
      <alignment horizontal="center"/>
    </xf>
    <xf numFmtId="0" fontId="0" fillId="33" borderId="47" xfId="0" applyFill="1" applyBorder="1" applyAlignment="1">
      <alignment horizontal="center"/>
    </xf>
    <xf numFmtId="0" fontId="0" fillId="33" borderId="48" xfId="0" applyFill="1" applyBorder="1" applyAlignment="1">
      <alignment horizontal="center"/>
    </xf>
    <xf numFmtId="0" fontId="107" fillId="43" borderId="47" xfId="0" applyFont="1" applyFill="1" applyBorder="1" applyAlignment="1">
      <alignment horizontal="center" vertical="center"/>
    </xf>
    <xf numFmtId="0" fontId="107" fillId="43" borderId="48" xfId="0" applyFont="1" applyFill="1" applyBorder="1" applyAlignment="1">
      <alignment horizontal="center" vertical="center"/>
    </xf>
    <xf numFmtId="0" fontId="107" fillId="43" borderId="49" xfId="0" applyFont="1" applyFill="1" applyBorder="1" applyAlignment="1">
      <alignment horizontal="center" vertical="center"/>
    </xf>
    <xf numFmtId="176" fontId="15" fillId="43" borderId="13" xfId="51" applyFont="1" applyFill="1" applyBorder="1" applyAlignment="1">
      <alignment/>
    </xf>
    <xf numFmtId="0" fontId="0" fillId="43" borderId="24" xfId="0" applyFill="1" applyBorder="1" applyAlignment="1">
      <alignment horizontal="center" vertical="center"/>
    </xf>
    <xf numFmtId="0" fontId="0" fillId="43" borderId="37" xfId="0" applyFill="1" applyBorder="1" applyAlignment="1">
      <alignment horizontal="center" vertical="center"/>
    </xf>
    <xf numFmtId="0" fontId="0" fillId="43" borderId="32" xfId="0" applyFill="1" applyBorder="1" applyAlignment="1">
      <alignment horizontal="center" vertical="center"/>
    </xf>
    <xf numFmtId="0" fontId="0" fillId="43" borderId="47" xfId="0" applyFill="1" applyBorder="1" applyAlignment="1">
      <alignment horizontal="center" vertical="center"/>
    </xf>
    <xf numFmtId="0" fontId="0" fillId="43" borderId="48" xfId="0" applyFill="1" applyBorder="1" applyAlignment="1">
      <alignment horizontal="center" vertical="center"/>
    </xf>
    <xf numFmtId="0" fontId="0" fillId="43" borderId="49" xfId="0" applyFill="1" applyBorder="1" applyAlignment="1">
      <alignment horizontal="center"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33" borderId="49" xfId="0" applyFill="1" applyBorder="1" applyAlignment="1">
      <alignment horizontal="center" vertical="center"/>
    </xf>
    <xf numFmtId="0" fontId="107" fillId="33" borderId="24" xfId="0" applyFont="1" applyFill="1" applyBorder="1" applyAlignment="1">
      <alignment horizontal="center" vertical="center"/>
    </xf>
    <xf numFmtId="0" fontId="107" fillId="33" borderId="37" xfId="0" applyFont="1" applyFill="1" applyBorder="1" applyAlignment="1">
      <alignment horizontal="center" vertical="center"/>
    </xf>
    <xf numFmtId="0" fontId="107" fillId="33" borderId="32" xfId="0" applyFont="1" applyFill="1" applyBorder="1" applyAlignment="1">
      <alignment horizontal="center" vertical="center"/>
    </xf>
    <xf numFmtId="0" fontId="107" fillId="33" borderId="23" xfId="0" applyFont="1" applyFill="1" applyBorder="1" applyAlignment="1">
      <alignment/>
    </xf>
    <xf numFmtId="0" fontId="107" fillId="33" borderId="14" xfId="0" applyFont="1" applyFill="1" applyBorder="1" applyAlignment="1">
      <alignment/>
    </xf>
    <xf numFmtId="176" fontId="15" fillId="33" borderId="11" xfId="51" applyFont="1" applyFill="1" applyBorder="1" applyAlignment="1">
      <alignment/>
    </xf>
    <xf numFmtId="0" fontId="107" fillId="34" borderId="0" xfId="0" applyFont="1" applyFill="1" applyAlignment="1">
      <alignment/>
    </xf>
    <xf numFmtId="174" fontId="107" fillId="33" borderId="50" xfId="52" applyFont="1" applyFill="1" applyBorder="1" applyAlignment="1">
      <alignment/>
    </xf>
    <xf numFmtId="0" fontId="107" fillId="38" borderId="0" xfId="0" applyFont="1" applyFill="1" applyAlignment="1">
      <alignment/>
    </xf>
    <xf numFmtId="0" fontId="107" fillId="33" borderId="50" xfId="0" applyFont="1" applyFill="1" applyBorder="1" applyAlignment="1">
      <alignment/>
    </xf>
    <xf numFmtId="0" fontId="107" fillId="33" borderId="51" xfId="0" applyFont="1" applyFill="1" applyBorder="1" applyAlignment="1">
      <alignment/>
    </xf>
    <xf numFmtId="176" fontId="14" fillId="11" borderId="46" xfId="51" applyFont="1" applyFill="1" applyBorder="1" applyAlignment="1">
      <alignment/>
    </xf>
    <xf numFmtId="176" fontId="14" fillId="11" borderId="22" xfId="51" applyFont="1" applyFill="1" applyBorder="1" applyAlignment="1">
      <alignment/>
    </xf>
    <xf numFmtId="0" fontId="107" fillId="11" borderId="27" xfId="0" applyFont="1" applyFill="1" applyBorder="1" applyAlignment="1">
      <alignment horizontal="center"/>
    </xf>
    <xf numFmtId="0" fontId="107" fillId="11" borderId="26" xfId="0" applyFont="1" applyFill="1" applyBorder="1" applyAlignment="1">
      <alignment horizontal="center"/>
    </xf>
    <xf numFmtId="0" fontId="0" fillId="33" borderId="52" xfId="0" applyFill="1" applyBorder="1" applyAlignment="1">
      <alignment horizontal="center"/>
    </xf>
    <xf numFmtId="0" fontId="28" fillId="33" borderId="49" xfId="0" applyFont="1" applyFill="1" applyBorder="1" applyAlignment="1">
      <alignment horizontal="center"/>
    </xf>
    <xf numFmtId="0" fontId="0" fillId="43" borderId="52" xfId="0" applyFill="1" applyBorder="1" applyAlignment="1">
      <alignment horizontal="center"/>
    </xf>
    <xf numFmtId="0" fontId="28" fillId="43" borderId="49" xfId="0" applyFont="1" applyFill="1" applyBorder="1" applyAlignment="1">
      <alignment horizontal="center"/>
    </xf>
    <xf numFmtId="174" fontId="107" fillId="43" borderId="50" xfId="52" applyFont="1" applyFill="1" applyBorder="1" applyAlignment="1">
      <alignment/>
    </xf>
    <xf numFmtId="0" fontId="107" fillId="43" borderId="50" xfId="0" applyFont="1" applyFill="1" applyBorder="1" applyAlignment="1">
      <alignment/>
    </xf>
    <xf numFmtId="0" fontId="107" fillId="43" borderId="51" xfId="0" applyFont="1" applyFill="1" applyBorder="1" applyAlignment="1">
      <alignment/>
    </xf>
    <xf numFmtId="0" fontId="28" fillId="43" borderId="48" xfId="0" applyFont="1" applyFill="1" applyBorder="1" applyAlignment="1">
      <alignment horizontal="center"/>
    </xf>
    <xf numFmtId="176" fontId="15" fillId="43" borderId="15" xfId="51" applyFont="1" applyFill="1" applyBorder="1" applyAlignment="1">
      <alignment/>
    </xf>
    <xf numFmtId="0" fontId="29" fillId="43" borderId="49" xfId="0" applyFont="1" applyFill="1" applyBorder="1" applyAlignment="1">
      <alignment horizontal="center"/>
    </xf>
    <xf numFmtId="0" fontId="0" fillId="45" borderId="0" xfId="0" applyFill="1" applyAlignment="1">
      <alignment/>
    </xf>
    <xf numFmtId="4" fontId="11" fillId="33" borderId="47" xfId="54" applyNumberFormat="1" applyFont="1" applyFill="1" applyBorder="1" applyAlignment="1">
      <alignment horizontal="center" vertical="justify"/>
      <protection/>
    </xf>
    <xf numFmtId="4" fontId="11" fillId="33" borderId="48" xfId="54" applyNumberFormat="1" applyFont="1" applyFill="1" applyBorder="1" applyAlignment="1">
      <alignment horizontal="center" vertical="justify"/>
      <protection/>
    </xf>
    <xf numFmtId="4" fontId="11" fillId="33" borderId="49" xfId="54" applyNumberFormat="1" applyFont="1" applyFill="1" applyBorder="1" applyAlignment="1">
      <alignment horizontal="center" vertical="justify"/>
      <protection/>
    </xf>
    <xf numFmtId="4" fontId="2" fillId="33" borderId="28" xfId="54" applyNumberFormat="1" applyFill="1" applyBorder="1">
      <alignment/>
      <protection/>
    </xf>
    <xf numFmtId="4" fontId="2" fillId="33" borderId="15" xfId="54" applyNumberFormat="1" applyFill="1" applyBorder="1">
      <alignment/>
      <protection/>
    </xf>
    <xf numFmtId="4" fontId="2" fillId="33" borderId="29" xfId="54" applyNumberFormat="1" applyFill="1" applyBorder="1">
      <alignment/>
      <protection/>
    </xf>
    <xf numFmtId="4" fontId="11" fillId="33" borderId="24" xfId="54" applyNumberFormat="1" applyFont="1" applyFill="1" applyBorder="1" applyAlignment="1">
      <alignment horizontal="center" vertical="justify"/>
      <protection/>
    </xf>
    <xf numFmtId="4" fontId="11" fillId="33" borderId="37" xfId="54" applyNumberFormat="1" applyFont="1" applyFill="1" applyBorder="1" applyAlignment="1">
      <alignment horizontal="center" vertical="justify"/>
      <protection/>
    </xf>
    <xf numFmtId="4" fontId="11" fillId="33" borderId="32" xfId="54" applyNumberFormat="1" applyFont="1" applyFill="1" applyBorder="1" applyAlignment="1">
      <alignment horizontal="center" vertical="justify"/>
      <protection/>
    </xf>
    <xf numFmtId="197" fontId="2" fillId="33" borderId="23" xfId="54" applyNumberFormat="1" applyFill="1" applyBorder="1">
      <alignment/>
      <protection/>
    </xf>
    <xf numFmtId="4" fontId="2" fillId="33" borderId="14" xfId="54" applyNumberFormat="1" applyFill="1" applyBorder="1">
      <alignment/>
      <protection/>
    </xf>
    <xf numFmtId="4" fontId="2" fillId="33" borderId="11" xfId="54" applyNumberFormat="1" applyFill="1" applyBorder="1">
      <alignment/>
      <protection/>
    </xf>
    <xf numFmtId="175" fontId="0" fillId="33" borderId="14" xfId="50" applyFont="1" applyFill="1" applyBorder="1" applyAlignment="1">
      <alignment/>
    </xf>
    <xf numFmtId="0" fontId="6" fillId="36"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1" fillId="36" borderId="12" xfId="0" applyFont="1" applyFill="1" applyBorder="1" applyAlignment="1">
      <alignment horizontal="center" vertical="center" wrapText="1"/>
    </xf>
    <xf numFmtId="0" fontId="1" fillId="33" borderId="12" xfId="0" applyFont="1" applyFill="1" applyBorder="1" applyAlignment="1">
      <alignment horizontal="center" vertical="center" wrapText="1"/>
    </xf>
    <xf numFmtId="175" fontId="105" fillId="44" borderId="0" xfId="50" applyFont="1" applyFill="1" applyAlignment="1">
      <alignment/>
    </xf>
    <xf numFmtId="0" fontId="105" fillId="44" borderId="0" xfId="0" applyFont="1" applyFill="1" applyAlignment="1">
      <alignment/>
    </xf>
    <xf numFmtId="175" fontId="0" fillId="34" borderId="22" xfId="0" applyNumberFormat="1" applyFill="1" applyBorder="1" applyAlignment="1">
      <alignment/>
    </xf>
    <xf numFmtId="0" fontId="6" fillId="38" borderId="0" xfId="0" applyFont="1" applyFill="1" applyAlignment="1">
      <alignment horizontal="center" vertical="center" wrapText="1"/>
    </xf>
    <xf numFmtId="175" fontId="5" fillId="38" borderId="0" xfId="50" applyFont="1" applyFill="1" applyAlignment="1">
      <alignment/>
    </xf>
    <xf numFmtId="175" fontId="0" fillId="38" borderId="0" xfId="50" applyFont="1" applyFill="1" applyAlignment="1">
      <alignment/>
    </xf>
    <xf numFmtId="0" fontId="0" fillId="38" borderId="0" xfId="0" applyFill="1" applyAlignment="1">
      <alignment/>
    </xf>
    <xf numFmtId="0" fontId="6" fillId="38" borderId="38" xfId="0" applyFont="1" applyFill="1" applyBorder="1" applyAlignment="1">
      <alignment horizontal="center" vertical="center"/>
    </xf>
    <xf numFmtId="0" fontId="14" fillId="38" borderId="39" xfId="0" applyFont="1" applyFill="1" applyBorder="1" applyAlignment="1">
      <alignment horizontal="center" vertical="center"/>
    </xf>
    <xf numFmtId="0" fontId="1" fillId="43" borderId="24" xfId="0" applyFont="1" applyFill="1" applyBorder="1" applyAlignment="1">
      <alignment horizontal="center" vertical="center" wrapText="1"/>
    </xf>
    <xf numFmtId="175" fontId="108" fillId="43" borderId="37" xfId="50" applyFont="1" applyFill="1" applyBorder="1" applyAlignment="1">
      <alignment/>
    </xf>
    <xf numFmtId="1" fontId="0" fillId="43" borderId="37" xfId="0" applyNumberFormat="1" applyFill="1" applyBorder="1" applyAlignment="1">
      <alignment horizontal="center" vertical="center"/>
    </xf>
    <xf numFmtId="0" fontId="1" fillId="43" borderId="12" xfId="0" applyFont="1" applyFill="1" applyBorder="1" applyAlignment="1">
      <alignment horizontal="center" vertical="center" wrapText="1"/>
    </xf>
    <xf numFmtId="175" fontId="5" fillId="43" borderId="13" xfId="50" applyFont="1" applyFill="1" applyBorder="1" applyAlignment="1">
      <alignment/>
    </xf>
    <xf numFmtId="175" fontId="0" fillId="43" borderId="13" xfId="50" applyFont="1" applyFill="1" applyBorder="1" applyAlignment="1">
      <alignment/>
    </xf>
    <xf numFmtId="0" fontId="104" fillId="38" borderId="39" xfId="0" applyFont="1" applyFill="1" applyBorder="1" applyAlignment="1">
      <alignment horizontal="center"/>
    </xf>
    <xf numFmtId="0" fontId="104" fillId="38" borderId="40" xfId="0" applyFont="1" applyFill="1" applyBorder="1" applyAlignment="1">
      <alignment horizontal="center"/>
    </xf>
    <xf numFmtId="0" fontId="7" fillId="45" borderId="30" xfId="0" applyFont="1" applyFill="1" applyBorder="1" applyAlignment="1">
      <alignment horizontal="center"/>
    </xf>
    <xf numFmtId="0" fontId="7" fillId="45" borderId="45" xfId="0" applyFont="1" applyFill="1" applyBorder="1" applyAlignment="1">
      <alignment horizontal="center"/>
    </xf>
    <xf numFmtId="0" fontId="7" fillId="45" borderId="46" xfId="0" applyFont="1" applyFill="1" applyBorder="1" applyAlignment="1">
      <alignment horizontal="center"/>
    </xf>
    <xf numFmtId="0" fontId="7" fillId="43" borderId="12" xfId="0" applyFont="1" applyFill="1" applyBorder="1" applyAlignment="1">
      <alignment/>
    </xf>
    <xf numFmtId="197" fontId="7" fillId="43" borderId="13" xfId="0" applyNumberFormat="1" applyFont="1" applyFill="1" applyBorder="1" applyAlignment="1">
      <alignment/>
    </xf>
    <xf numFmtId="197" fontId="7" fillId="43" borderId="10" xfId="0" applyNumberFormat="1" applyFont="1" applyFill="1" applyBorder="1" applyAlignment="1">
      <alignment/>
    </xf>
    <xf numFmtId="0" fontId="33" fillId="34" borderId="0" xfId="46" applyFont="1" applyFill="1" applyAlignment="1" applyProtection="1">
      <alignment/>
      <protection/>
    </xf>
    <xf numFmtId="0" fontId="36" fillId="43" borderId="13" xfId="46" applyFont="1" applyFill="1" applyBorder="1" applyAlignment="1" applyProtection="1">
      <alignment horizontal="left"/>
      <protection/>
    </xf>
    <xf numFmtId="0" fontId="40" fillId="43" borderId="13" xfId="46" applyFont="1" applyFill="1" applyBorder="1" applyAlignment="1" applyProtection="1">
      <alignment horizontal="left"/>
      <protection/>
    </xf>
    <xf numFmtId="0" fontId="0" fillId="43" borderId="13" xfId="0" applyFill="1" applyBorder="1" applyAlignment="1">
      <alignment/>
    </xf>
    <xf numFmtId="0" fontId="109" fillId="34" borderId="0" xfId="0" applyFont="1" applyFill="1" applyAlignment="1">
      <alignment horizontal="center" vertical="center"/>
    </xf>
    <xf numFmtId="209" fontId="0" fillId="34" borderId="0" xfId="0" applyNumberFormat="1" applyFill="1" applyAlignment="1">
      <alignment/>
    </xf>
    <xf numFmtId="0" fontId="110" fillId="43" borderId="13" xfId="46" applyFont="1" applyFill="1" applyBorder="1" applyAlignment="1" applyProtection="1">
      <alignment horizontal="left"/>
      <protection/>
    </xf>
    <xf numFmtId="0" fontId="111" fillId="43" borderId="13" xfId="0" applyFont="1" applyFill="1" applyBorder="1" applyAlignment="1">
      <alignment/>
    </xf>
    <xf numFmtId="0" fontId="111" fillId="34" borderId="0" xfId="0" applyFont="1" applyFill="1" applyAlignment="1">
      <alignment/>
    </xf>
    <xf numFmtId="10" fontId="0" fillId="43" borderId="13" xfId="56" applyNumberFormat="1" applyFont="1" applyFill="1" applyBorder="1" applyAlignment="1">
      <alignment/>
    </xf>
    <xf numFmtId="0" fontId="33" fillId="34" borderId="0" xfId="46" applyFont="1" applyFill="1" applyAlignment="1" applyProtection="1">
      <alignment wrapText="1"/>
      <protection/>
    </xf>
    <xf numFmtId="176" fontId="5" fillId="43" borderId="13" xfId="51" applyFont="1" applyFill="1" applyBorder="1" applyAlignment="1">
      <alignment/>
    </xf>
    <xf numFmtId="0" fontId="4" fillId="43" borderId="12" xfId="0" applyFont="1" applyFill="1" applyBorder="1" applyAlignment="1" applyProtection="1">
      <alignment horizontal="left" shrinkToFit="1"/>
      <protection locked="0"/>
    </xf>
    <xf numFmtId="176" fontId="5" fillId="43" borderId="10" xfId="51" applyFont="1" applyFill="1" applyBorder="1" applyAlignment="1">
      <alignment/>
    </xf>
    <xf numFmtId="0" fontId="6" fillId="43" borderId="23" xfId="0" applyFont="1" applyFill="1" applyBorder="1" applyAlignment="1">
      <alignment/>
    </xf>
    <xf numFmtId="176" fontId="7" fillId="43" borderId="14" xfId="51" applyFont="1" applyFill="1" applyBorder="1" applyAlignment="1">
      <alignment/>
    </xf>
    <xf numFmtId="176" fontId="7" fillId="43" borderId="11" xfId="51" applyFont="1" applyFill="1" applyBorder="1" applyAlignment="1">
      <alignment/>
    </xf>
    <xf numFmtId="0" fontId="3" fillId="38" borderId="47" xfId="0" applyFont="1" applyFill="1" applyBorder="1" applyAlignment="1">
      <alignment horizontal="left"/>
    </xf>
    <xf numFmtId="0" fontId="7" fillId="38" borderId="48" xfId="0" applyFont="1" applyFill="1" applyBorder="1" applyAlignment="1">
      <alignment horizontal="center"/>
    </xf>
    <xf numFmtId="0" fontId="7" fillId="38" borderId="49" xfId="0" applyFont="1" applyFill="1" applyBorder="1" applyAlignment="1">
      <alignment horizontal="center"/>
    </xf>
    <xf numFmtId="4" fontId="11" fillId="43" borderId="47" xfId="54" applyNumberFormat="1" applyFont="1" applyFill="1" applyBorder="1" applyAlignment="1">
      <alignment horizontal="center" vertical="justify"/>
      <protection/>
    </xf>
    <xf numFmtId="4" fontId="11" fillId="43" borderId="48" xfId="54" applyNumberFormat="1" applyFont="1" applyFill="1" applyBorder="1" applyAlignment="1">
      <alignment horizontal="center" vertical="justify"/>
      <protection/>
    </xf>
    <xf numFmtId="4" fontId="11" fillId="43" borderId="49" xfId="54" applyNumberFormat="1" applyFont="1" applyFill="1" applyBorder="1" applyAlignment="1">
      <alignment horizontal="center" vertical="justify"/>
      <protection/>
    </xf>
    <xf numFmtId="4" fontId="2" fillId="43" borderId="15" xfId="54" applyNumberFormat="1" applyFill="1" applyBorder="1">
      <alignment/>
      <protection/>
    </xf>
    <xf numFmtId="4" fontId="2" fillId="43" borderId="29" xfId="54" applyNumberFormat="1" applyFill="1" applyBorder="1">
      <alignment/>
      <protection/>
    </xf>
    <xf numFmtId="197" fontId="2" fillId="43" borderId="15" xfId="54" applyNumberFormat="1" applyFill="1" applyBorder="1">
      <alignment/>
      <protection/>
    </xf>
    <xf numFmtId="4" fontId="11" fillId="43" borderId="24" xfId="54" applyNumberFormat="1" applyFont="1" applyFill="1" applyBorder="1" applyAlignment="1">
      <alignment horizontal="center" vertical="justify"/>
      <protection/>
    </xf>
    <xf numFmtId="4" fontId="11" fillId="43" borderId="37" xfId="54" applyNumberFormat="1" applyFont="1" applyFill="1" applyBorder="1" applyAlignment="1">
      <alignment horizontal="center" vertical="justify"/>
      <protection/>
    </xf>
    <xf numFmtId="4" fontId="11" fillId="43" borderId="32" xfId="54" applyNumberFormat="1" applyFont="1" applyFill="1" applyBorder="1" applyAlignment="1">
      <alignment horizontal="center" vertical="justify"/>
      <protection/>
    </xf>
    <xf numFmtId="4" fontId="2" fillId="43" borderId="23" xfId="54" applyNumberFormat="1" applyFill="1" applyBorder="1">
      <alignment/>
      <protection/>
    </xf>
    <xf numFmtId="4" fontId="2" fillId="43" borderId="14" xfId="54" applyNumberFormat="1" applyFill="1" applyBorder="1">
      <alignment/>
      <protection/>
    </xf>
    <xf numFmtId="4" fontId="2" fillId="43" borderId="11" xfId="54" applyNumberFormat="1" applyFill="1" applyBorder="1">
      <alignment/>
      <protection/>
    </xf>
    <xf numFmtId="4" fontId="2" fillId="38" borderId="0" xfId="54" applyNumberFormat="1" applyFill="1">
      <alignment/>
      <protection/>
    </xf>
    <xf numFmtId="197" fontId="2" fillId="43" borderId="23" xfId="54" applyNumberFormat="1" applyFill="1" applyBorder="1">
      <alignment/>
      <protection/>
    </xf>
    <xf numFmtId="197" fontId="2" fillId="43" borderId="14" xfId="54" applyNumberFormat="1" applyFill="1" applyBorder="1">
      <alignment/>
      <protection/>
    </xf>
    <xf numFmtId="197" fontId="2" fillId="38" borderId="0" xfId="54" applyNumberFormat="1" applyFill="1">
      <alignment/>
      <protection/>
    </xf>
    <xf numFmtId="0" fontId="32" fillId="38" borderId="0" xfId="46" applyFont="1" applyFill="1" applyAlignment="1" applyProtection="1">
      <alignment horizontal="center" wrapText="1"/>
      <protection/>
    </xf>
    <xf numFmtId="4" fontId="12" fillId="38" borderId="0" xfId="54" applyNumberFormat="1" applyFont="1" applyFill="1" applyAlignment="1">
      <alignment horizontal="center" vertical="justify"/>
      <protection/>
    </xf>
    <xf numFmtId="0" fontId="11" fillId="43" borderId="48" xfId="0" applyFont="1" applyFill="1" applyBorder="1" applyAlignment="1">
      <alignment horizontal="center"/>
    </xf>
    <xf numFmtId="196" fontId="5" fillId="43" borderId="13" xfId="0" applyNumberFormat="1" applyFont="1" applyFill="1" applyBorder="1" applyAlignment="1">
      <alignment/>
    </xf>
    <xf numFmtId="174" fontId="112" fillId="43" borderId="10" xfId="52" applyFont="1" applyFill="1" applyBorder="1" applyAlignment="1">
      <alignment/>
    </xf>
    <xf numFmtId="0" fontId="105" fillId="45" borderId="0" xfId="0" applyFont="1" applyFill="1" applyAlignment="1">
      <alignment/>
    </xf>
    <xf numFmtId="0" fontId="105" fillId="44" borderId="0" xfId="0" applyFont="1" applyFill="1" applyAlignment="1">
      <alignment wrapText="1"/>
    </xf>
    <xf numFmtId="10" fontId="34" fillId="44" borderId="0" xfId="56" applyNumberFormat="1" applyFont="1" applyFill="1" applyAlignment="1">
      <alignment horizontal="center" vertical="center"/>
    </xf>
    <xf numFmtId="174" fontId="105" fillId="2" borderId="0" xfId="52" applyFont="1" applyFill="1" applyAlignment="1">
      <alignment/>
    </xf>
    <xf numFmtId="174" fontId="105" fillId="32" borderId="46" xfId="52" applyFont="1" applyFill="1" applyBorder="1" applyAlignment="1">
      <alignment/>
    </xf>
    <xf numFmtId="4" fontId="12" fillId="46" borderId="12" xfId="54" applyNumberFormat="1" applyFont="1" applyFill="1" applyBorder="1" applyAlignment="1">
      <alignment horizontal="center" vertical="justify"/>
      <protection/>
    </xf>
    <xf numFmtId="10" fontId="34" fillId="32" borderId="12" xfId="56" applyNumberFormat="1" applyFont="1" applyFill="1" applyBorder="1" applyAlignment="1">
      <alignment/>
    </xf>
    <xf numFmtId="10" fontId="34" fillId="32" borderId="23" xfId="56" applyNumberFormat="1" applyFont="1" applyFill="1" applyBorder="1" applyAlignment="1">
      <alignment/>
    </xf>
    <xf numFmtId="4" fontId="12" fillId="46" borderId="47" xfId="54" applyNumberFormat="1" applyFont="1" applyFill="1" applyBorder="1" applyAlignment="1">
      <alignment horizontal="center" vertical="justify"/>
      <protection/>
    </xf>
    <xf numFmtId="174" fontId="106" fillId="46" borderId="22" xfId="52" applyFont="1" applyFill="1" applyBorder="1" applyAlignment="1">
      <alignment/>
    </xf>
    <xf numFmtId="0" fontId="34" fillId="2" borderId="53" xfId="0" applyFont="1" applyFill="1" applyBorder="1" applyAlignment="1">
      <alignment/>
    </xf>
    <xf numFmtId="195" fontId="34" fillId="32" borderId="23" xfId="56" applyNumberFormat="1" applyFont="1" applyFill="1" applyBorder="1" applyAlignment="1">
      <alignment/>
    </xf>
    <xf numFmtId="195" fontId="34" fillId="32" borderId="54" xfId="56" applyNumberFormat="1" applyFont="1" applyFill="1" applyBorder="1" applyAlignment="1">
      <alignment/>
    </xf>
    <xf numFmtId="0" fontId="105" fillId="44" borderId="0" xfId="0" applyFont="1" applyFill="1" applyAlignment="1">
      <alignment horizontal="left"/>
    </xf>
    <xf numFmtId="0" fontId="36" fillId="44" borderId="0" xfId="0" applyFont="1" applyFill="1" applyAlignment="1">
      <alignment/>
    </xf>
    <xf numFmtId="174" fontId="105" fillId="44" borderId="0" xfId="52" applyFont="1" applyFill="1" applyAlignment="1">
      <alignment/>
    </xf>
    <xf numFmtId="0" fontId="105" fillId="2" borderId="12" xfId="0" applyFont="1" applyFill="1" applyBorder="1" applyAlignment="1">
      <alignment/>
    </xf>
    <xf numFmtId="0" fontId="105" fillId="2" borderId="12" xfId="0" applyFont="1" applyFill="1" applyBorder="1" applyAlignment="1">
      <alignment horizontal="left"/>
    </xf>
    <xf numFmtId="0" fontId="105" fillId="2" borderId="23" xfId="0" applyFont="1" applyFill="1" applyBorder="1" applyAlignment="1">
      <alignment horizontal="left"/>
    </xf>
    <xf numFmtId="0" fontId="34" fillId="2" borderId="12" xfId="0" applyFont="1" applyFill="1" applyBorder="1" applyAlignment="1">
      <alignment/>
    </xf>
    <xf numFmtId="195" fontId="105" fillId="32" borderId="10" xfId="0" applyNumberFormat="1" applyFont="1" applyFill="1" applyBorder="1" applyAlignment="1">
      <alignment/>
    </xf>
    <xf numFmtId="195" fontId="105" fillId="32" borderId="11" xfId="0" applyNumberFormat="1" applyFont="1" applyFill="1" applyBorder="1" applyAlignment="1">
      <alignment/>
    </xf>
    <xf numFmtId="0" fontId="34" fillId="2" borderId="13" xfId="0" applyFont="1" applyFill="1" applyBorder="1" applyAlignment="1">
      <alignment horizontal="left"/>
    </xf>
    <xf numFmtId="174" fontId="105" fillId="32" borderId="32" xfId="52" applyFont="1" applyFill="1" applyBorder="1" applyAlignment="1">
      <alignment horizontal="right"/>
    </xf>
    <xf numFmtId="0" fontId="34" fillId="2" borderId="12" xfId="0" applyFont="1" applyFill="1" applyBorder="1" applyAlignment="1">
      <alignment horizontal="left"/>
    </xf>
    <xf numFmtId="0" fontId="34" fillId="2" borderId="23" xfId="0" applyFont="1" applyFill="1" applyBorder="1" applyAlignment="1">
      <alignment horizontal="left"/>
    </xf>
    <xf numFmtId="0" fontId="34" fillId="2" borderId="24" xfId="0" applyFont="1" applyFill="1" applyBorder="1" applyAlignment="1">
      <alignment horizontal="left"/>
    </xf>
    <xf numFmtId="0" fontId="34" fillId="2" borderId="37" xfId="0" applyFont="1" applyFill="1" applyBorder="1" applyAlignment="1">
      <alignment horizontal="left"/>
    </xf>
    <xf numFmtId="10" fontId="34" fillId="32" borderId="32" xfId="56" applyNumberFormat="1" applyFont="1" applyFill="1" applyBorder="1" applyAlignment="1">
      <alignment/>
    </xf>
    <xf numFmtId="10" fontId="34" fillId="32" borderId="10" xfId="56" applyNumberFormat="1" applyFont="1" applyFill="1" applyBorder="1" applyAlignment="1">
      <alignment/>
    </xf>
    <xf numFmtId="10" fontId="34" fillId="32" borderId="11" xfId="56" applyNumberFormat="1" applyFont="1" applyFill="1" applyBorder="1" applyAlignment="1">
      <alignment/>
    </xf>
    <xf numFmtId="0" fontId="105" fillId="9" borderId="22" xfId="0" applyFont="1" applyFill="1" applyBorder="1" applyAlignment="1">
      <alignment/>
    </xf>
    <xf numFmtId="0" fontId="105" fillId="32" borderId="32" xfId="0" applyFont="1" applyFill="1" applyBorder="1" applyAlignment="1">
      <alignment/>
    </xf>
    <xf numFmtId="9" fontId="34" fillId="32" borderId="10" xfId="56" applyFont="1" applyFill="1" applyBorder="1" applyAlignment="1">
      <alignment/>
    </xf>
    <xf numFmtId="0" fontId="105" fillId="2" borderId="47" xfId="0" applyFont="1" applyFill="1" applyBorder="1" applyAlignment="1">
      <alignment/>
    </xf>
    <xf numFmtId="0" fontId="13" fillId="44" borderId="24" xfId="0" applyFont="1" applyFill="1" applyBorder="1" applyAlignment="1">
      <alignment horizontal="center"/>
    </xf>
    <xf numFmtId="0" fontId="13" fillId="44" borderId="32" xfId="0" applyFont="1" applyFill="1" applyBorder="1" applyAlignment="1">
      <alignment horizontal="center"/>
    </xf>
    <xf numFmtId="174" fontId="36" fillId="43" borderId="10" xfId="52" applyFont="1" applyFill="1" applyBorder="1" applyAlignment="1">
      <alignment/>
    </xf>
    <xf numFmtId="0" fontId="36" fillId="32" borderId="12" xfId="0" applyFont="1" applyFill="1" applyBorder="1" applyAlignment="1">
      <alignment/>
    </xf>
    <xf numFmtId="174" fontId="36" fillId="32" borderId="10" xfId="52" applyFont="1" applyFill="1" applyBorder="1" applyAlignment="1">
      <alignment/>
    </xf>
    <xf numFmtId="0" fontId="36" fillId="2" borderId="23" xfId="0" applyFont="1" applyFill="1" applyBorder="1" applyAlignment="1">
      <alignment/>
    </xf>
    <xf numFmtId="174" fontId="36" fillId="32" borderId="11" xfId="52" applyFont="1" applyFill="1" applyBorder="1" applyAlignment="1">
      <alignment/>
    </xf>
    <xf numFmtId="0" fontId="41" fillId="2" borderId="0" xfId="0" applyFont="1" applyFill="1" applyAlignment="1">
      <alignment/>
    </xf>
    <xf numFmtId="174" fontId="36" fillId="32" borderId="22" xfId="52" applyFont="1" applyFill="1" applyBorder="1" applyAlignment="1">
      <alignment/>
    </xf>
    <xf numFmtId="0" fontId="36" fillId="2" borderId="0" xfId="0" applyFont="1" applyFill="1" applyAlignment="1">
      <alignment/>
    </xf>
    <xf numFmtId="0" fontId="36" fillId="32" borderId="23" xfId="0" applyFont="1" applyFill="1" applyBorder="1" applyAlignment="1">
      <alignment/>
    </xf>
    <xf numFmtId="0" fontId="113" fillId="2" borderId="0" xfId="0" applyFont="1" applyFill="1" applyAlignment="1">
      <alignment vertical="center" wrapText="1"/>
    </xf>
    <xf numFmtId="0" fontId="114" fillId="2" borderId="0" xfId="0" applyFont="1" applyFill="1" applyAlignment="1">
      <alignment/>
    </xf>
    <xf numFmtId="0" fontId="44" fillId="2" borderId="0" xfId="46" applyFont="1" applyFill="1" applyAlignment="1" applyProtection="1">
      <alignment vertical="center"/>
      <protection/>
    </xf>
    <xf numFmtId="0" fontId="13" fillId="37" borderId="22" xfId="0" applyFont="1" applyFill="1" applyBorder="1" applyAlignment="1">
      <alignment/>
    </xf>
    <xf numFmtId="0" fontId="4" fillId="2" borderId="25" xfId="0" applyFont="1" applyFill="1" applyBorder="1" applyAlignment="1" applyProtection="1">
      <alignment shrinkToFit="1"/>
      <protection locked="0"/>
    </xf>
    <xf numFmtId="0" fontId="4" fillId="2" borderId="27" xfId="0" applyFont="1" applyFill="1" applyBorder="1" applyAlignment="1" applyProtection="1">
      <alignment shrinkToFit="1"/>
      <protection locked="0"/>
    </xf>
    <xf numFmtId="0" fontId="12" fillId="47" borderId="24" xfId="0" applyFont="1" applyFill="1" applyBorder="1" applyAlignment="1">
      <alignment horizontal="left"/>
    </xf>
    <xf numFmtId="0" fontId="41" fillId="47" borderId="32" xfId="0" applyFont="1" applyFill="1" applyBorder="1" applyAlignment="1">
      <alignment horizontal="center"/>
    </xf>
    <xf numFmtId="4" fontId="11" fillId="43" borderId="12" xfId="54" applyNumberFormat="1" applyFont="1" applyFill="1" applyBorder="1" applyAlignment="1">
      <alignment horizontal="center"/>
      <protection/>
    </xf>
    <xf numFmtId="4" fontId="11" fillId="43" borderId="13" xfId="54" applyNumberFormat="1" applyFont="1" applyFill="1" applyBorder="1" applyAlignment="1">
      <alignment horizontal="center"/>
      <protection/>
    </xf>
    <xf numFmtId="4" fontId="11" fillId="43" borderId="10" xfId="54" applyNumberFormat="1" applyFont="1" applyFill="1" applyBorder="1" applyAlignment="1">
      <alignment horizontal="center"/>
      <protection/>
    </xf>
    <xf numFmtId="4" fontId="11" fillId="43" borderId="12" xfId="54" applyNumberFormat="1" applyFont="1" applyFill="1" applyBorder="1" applyAlignment="1">
      <alignment horizontal="center" vertical="center"/>
      <protection/>
    </xf>
    <xf numFmtId="4" fontId="11" fillId="43" borderId="13" xfId="54" applyNumberFormat="1" applyFont="1" applyFill="1" applyBorder="1" applyAlignment="1">
      <alignment horizontal="center" vertical="center"/>
      <protection/>
    </xf>
    <xf numFmtId="4" fontId="11" fillId="43" borderId="10" xfId="54" applyNumberFormat="1" applyFont="1" applyFill="1" applyBorder="1" applyAlignment="1">
      <alignment horizontal="center" vertical="center"/>
      <protection/>
    </xf>
    <xf numFmtId="197" fontId="0" fillId="43" borderId="45" xfId="0" applyNumberFormat="1" applyFill="1" applyBorder="1" applyAlignment="1">
      <alignment/>
    </xf>
    <xf numFmtId="0" fontId="105" fillId="2" borderId="41" xfId="0" applyFont="1" applyFill="1" applyBorder="1" applyAlignment="1">
      <alignment/>
    </xf>
    <xf numFmtId="213" fontId="105" fillId="32" borderId="22" xfId="52" applyNumberFormat="1" applyFont="1" applyFill="1" applyBorder="1" applyAlignment="1">
      <alignment/>
    </xf>
    <xf numFmtId="10" fontId="105" fillId="44" borderId="0" xfId="0" applyNumberFormat="1" applyFont="1" applyFill="1" applyAlignment="1">
      <alignment horizontal="left"/>
    </xf>
    <xf numFmtId="0" fontId="105" fillId="44" borderId="0" xfId="0" applyFont="1" applyFill="1" applyBorder="1" applyAlignment="1">
      <alignment/>
    </xf>
    <xf numFmtId="195" fontId="105" fillId="32" borderId="49" xfId="0" applyNumberFormat="1" applyFont="1" applyFill="1" applyBorder="1" applyAlignment="1">
      <alignment/>
    </xf>
    <xf numFmtId="0" fontId="34" fillId="2" borderId="47" xfId="0" applyFont="1" applyFill="1" applyBorder="1" applyAlignment="1">
      <alignment/>
    </xf>
    <xf numFmtId="0" fontId="34" fillId="2" borderId="41" xfId="0" applyFont="1" applyFill="1" applyBorder="1" applyAlignment="1">
      <alignment/>
    </xf>
    <xf numFmtId="0" fontId="34" fillId="2" borderId="12" xfId="0" applyFont="1" applyFill="1" applyBorder="1" applyAlignment="1">
      <alignment/>
    </xf>
    <xf numFmtId="0" fontId="34" fillId="2" borderId="23" xfId="0" applyFont="1" applyFill="1" applyBorder="1" applyAlignment="1">
      <alignment/>
    </xf>
    <xf numFmtId="0" fontId="34" fillId="2" borderId="24" xfId="0" applyFont="1" applyFill="1" applyBorder="1" applyAlignment="1">
      <alignment horizontal="center" vertical="center" wrapText="1"/>
    </xf>
    <xf numFmtId="0" fontId="34" fillId="2" borderId="32" xfId="0" applyFont="1" applyFill="1" applyBorder="1" applyAlignment="1">
      <alignment horizontal="center"/>
    </xf>
    <xf numFmtId="0" fontId="36" fillId="2" borderId="24" xfId="0" applyFont="1" applyFill="1" applyBorder="1" applyAlignment="1">
      <alignment horizontal="center" vertical="center" wrapText="1"/>
    </xf>
    <xf numFmtId="175" fontId="36" fillId="2" borderId="32" xfId="50" applyFont="1" applyFill="1" applyBorder="1" applyAlignment="1">
      <alignment horizontal="center"/>
    </xf>
    <xf numFmtId="0" fontId="36" fillId="2" borderId="32" xfId="0" applyFont="1" applyFill="1" applyBorder="1" applyAlignment="1">
      <alignment horizontal="center"/>
    </xf>
    <xf numFmtId="0" fontId="105" fillId="43" borderId="49" xfId="0" applyFont="1" applyFill="1" applyBorder="1" applyAlignment="1">
      <alignment vertical="justify"/>
    </xf>
    <xf numFmtId="0" fontId="105" fillId="43" borderId="10" xfId="0" applyFont="1" applyFill="1" applyBorder="1" applyAlignment="1">
      <alignment/>
    </xf>
    <xf numFmtId="0" fontId="36" fillId="43" borderId="12" xfId="0" applyFont="1" applyFill="1" applyBorder="1" applyAlignment="1">
      <alignment/>
    </xf>
    <xf numFmtId="4" fontId="2" fillId="39" borderId="22" xfId="54" applyNumberFormat="1" applyFont="1" applyFill="1" applyBorder="1" applyAlignment="1">
      <alignment horizontal="center" vertical="justify"/>
      <protection/>
    </xf>
    <xf numFmtId="174" fontId="0" fillId="0" borderId="10" xfId="52" applyFont="1" applyBorder="1" applyAlignment="1">
      <alignment/>
    </xf>
    <xf numFmtId="0" fontId="105" fillId="2" borderId="24" xfId="0" applyFont="1" applyFill="1" applyBorder="1" applyAlignment="1">
      <alignment horizontal="left" wrapText="1"/>
    </xf>
    <xf numFmtId="174" fontId="105" fillId="0" borderId="10" xfId="52" applyFont="1" applyBorder="1" applyAlignment="1">
      <alignment/>
    </xf>
    <xf numFmtId="174" fontId="105" fillId="0" borderId="11" xfId="52" applyFont="1" applyBorder="1" applyAlignment="1">
      <alignment/>
    </xf>
    <xf numFmtId="9" fontId="34" fillId="32" borderId="11" xfId="56" applyFont="1" applyFill="1" applyBorder="1" applyAlignment="1">
      <alignment/>
    </xf>
    <xf numFmtId="0" fontId="34" fillId="2" borderId="47" xfId="0" applyFont="1" applyFill="1" applyBorder="1" applyAlignment="1">
      <alignment horizontal="left"/>
    </xf>
    <xf numFmtId="9" fontId="34" fillId="32" borderId="49" xfId="56" applyFont="1" applyFill="1" applyBorder="1" applyAlignment="1">
      <alignment/>
    </xf>
    <xf numFmtId="0" fontId="0" fillId="34" borderId="0" xfId="0" applyNumberFormat="1" applyFill="1" applyAlignment="1">
      <alignment/>
    </xf>
    <xf numFmtId="177" fontId="0" fillId="34" borderId="0" xfId="49" applyFont="1" applyFill="1" applyAlignment="1">
      <alignment/>
    </xf>
    <xf numFmtId="0" fontId="0" fillId="0" borderId="32" xfId="0" applyBorder="1" applyAlignment="1">
      <alignment/>
    </xf>
    <xf numFmtId="0" fontId="0" fillId="0" borderId="10" xfId="0" applyBorder="1" applyAlignment="1">
      <alignment/>
    </xf>
    <xf numFmtId="0" fontId="0" fillId="0" borderId="11" xfId="0" applyBorder="1" applyAlignment="1">
      <alignment/>
    </xf>
    <xf numFmtId="0" fontId="105" fillId="32" borderId="12" xfId="0" applyFont="1" applyFill="1" applyBorder="1" applyAlignment="1">
      <alignment horizontal="center"/>
    </xf>
    <xf numFmtId="0" fontId="105" fillId="32" borderId="13" xfId="0" applyFont="1" applyFill="1" applyBorder="1" applyAlignment="1">
      <alignment horizontal="center"/>
    </xf>
    <xf numFmtId="0" fontId="105" fillId="43" borderId="12" xfId="0" applyFont="1" applyFill="1" applyBorder="1" applyAlignment="1">
      <alignment horizontal="center"/>
    </xf>
    <xf numFmtId="0" fontId="105" fillId="43" borderId="13" xfId="0" applyFont="1" applyFill="1" applyBorder="1" applyAlignment="1">
      <alignment horizontal="center"/>
    </xf>
    <xf numFmtId="0" fontId="11" fillId="48" borderId="12" xfId="0" applyFont="1" applyFill="1" applyBorder="1" applyAlignment="1">
      <alignment/>
    </xf>
    <xf numFmtId="197" fontId="0" fillId="48" borderId="10" xfId="0" applyNumberFormat="1" applyFill="1" applyBorder="1" applyAlignment="1">
      <alignment/>
    </xf>
    <xf numFmtId="197" fontId="104" fillId="48" borderId="10" xfId="0" applyNumberFormat="1" applyFont="1" applyFill="1" applyBorder="1" applyAlignment="1">
      <alignment/>
    </xf>
    <xf numFmtId="0" fontId="87" fillId="34" borderId="0" xfId="0" applyFont="1" applyFill="1" applyBorder="1" applyAlignment="1">
      <alignment/>
    </xf>
    <xf numFmtId="0" fontId="115" fillId="43" borderId="0" xfId="46" applyFont="1" applyFill="1" applyBorder="1" applyAlignment="1" applyProtection="1">
      <alignment horizontal="left"/>
      <protection/>
    </xf>
    <xf numFmtId="10" fontId="87" fillId="34" borderId="0" xfId="0" applyNumberFormat="1" applyFont="1" applyFill="1" applyBorder="1" applyAlignment="1">
      <alignment horizontal="left"/>
    </xf>
    <xf numFmtId="0" fontId="87" fillId="34" borderId="0" xfId="0" applyFont="1" applyFill="1" applyBorder="1" applyAlignment="1">
      <alignment horizontal="left"/>
    </xf>
    <xf numFmtId="175" fontId="105" fillId="32" borderId="10" xfId="50" applyFont="1" applyFill="1" applyBorder="1" applyAlignment="1">
      <alignment/>
    </xf>
    <xf numFmtId="175" fontId="105" fillId="9" borderId="22" xfId="50" applyFont="1" applyFill="1" applyBorder="1" applyAlignment="1">
      <alignment/>
    </xf>
    <xf numFmtId="216" fontId="0" fillId="41" borderId="0" xfId="0" applyNumberFormat="1" applyFill="1" applyAlignment="1">
      <alignment/>
    </xf>
    <xf numFmtId="9" fontId="0" fillId="41" borderId="0" xfId="56" applyFont="1" applyFill="1" applyAlignment="1">
      <alignment/>
    </xf>
    <xf numFmtId="0" fontId="0" fillId="47" borderId="0" xfId="0" applyFill="1" applyAlignment="1">
      <alignment/>
    </xf>
    <xf numFmtId="175" fontId="0" fillId="42" borderId="22" xfId="50" applyFont="1" applyFill="1" applyBorder="1" applyAlignment="1">
      <alignment/>
    </xf>
    <xf numFmtId="4" fontId="0" fillId="34" borderId="0" xfId="0" applyNumberFormat="1" applyFill="1" applyAlignment="1">
      <alignment/>
    </xf>
    <xf numFmtId="174" fontId="105" fillId="2" borderId="0" xfId="0" applyNumberFormat="1" applyFont="1" applyFill="1" applyAlignment="1">
      <alignment/>
    </xf>
    <xf numFmtId="175" fontId="0" fillId="34" borderId="0" xfId="50" applyFont="1" applyFill="1" applyAlignment="1">
      <alignment/>
    </xf>
    <xf numFmtId="0" fontId="50" fillId="0" borderId="24" xfId="0" applyFont="1" applyFill="1" applyBorder="1" applyAlignment="1">
      <alignment/>
    </xf>
    <xf numFmtId="0" fontId="50" fillId="0" borderId="12" xfId="0" applyFont="1" applyFill="1" applyBorder="1" applyAlignment="1">
      <alignment/>
    </xf>
    <xf numFmtId="0" fontId="50" fillId="0" borderId="23" xfId="0" applyFont="1" applyFill="1" applyBorder="1" applyAlignment="1">
      <alignment/>
    </xf>
    <xf numFmtId="175" fontId="33" fillId="34" borderId="0" xfId="50" applyFont="1" applyFill="1" applyAlignment="1" applyProtection="1">
      <alignment wrapText="1"/>
      <protection/>
    </xf>
    <xf numFmtId="197" fontId="25" fillId="0" borderId="18" xfId="0" applyNumberFormat="1" applyFont="1" applyFill="1" applyBorder="1" applyAlignment="1">
      <alignment/>
    </xf>
    <xf numFmtId="197" fontId="28" fillId="0" borderId="19" xfId="0" applyNumberFormat="1" applyFont="1" applyFill="1" applyBorder="1" applyAlignment="1">
      <alignment/>
    </xf>
    <xf numFmtId="197" fontId="0" fillId="0" borderId="20" xfId="0" applyNumberFormat="1" applyFill="1" applyBorder="1" applyAlignment="1">
      <alignment/>
    </xf>
    <xf numFmtId="0" fontId="51" fillId="0" borderId="22" xfId="0" applyFont="1" applyFill="1" applyBorder="1" applyAlignment="1">
      <alignment vertical="center"/>
    </xf>
    <xf numFmtId="0" fontId="51" fillId="0" borderId="22" xfId="0" applyFont="1" applyFill="1" applyBorder="1" applyAlignment="1">
      <alignment horizontal="center" vertical="center"/>
    </xf>
    <xf numFmtId="0" fontId="51" fillId="0" borderId="47" xfId="0" applyFont="1" applyFill="1" applyBorder="1" applyAlignment="1">
      <alignment vertical="center" wrapText="1"/>
    </xf>
    <xf numFmtId="175" fontId="52" fillId="0" borderId="10" xfId="50" applyFont="1" applyFill="1" applyBorder="1" applyAlignment="1">
      <alignment/>
    </xf>
    <xf numFmtId="0" fontId="51" fillId="0" borderId="12" xfId="0" applyFont="1" applyFill="1" applyBorder="1" applyAlignment="1">
      <alignment vertical="center"/>
    </xf>
    <xf numFmtId="0" fontId="51" fillId="0" borderId="12" xfId="0" applyFont="1" applyFill="1" applyBorder="1" applyAlignment="1">
      <alignment vertical="center" wrapText="1"/>
    </xf>
    <xf numFmtId="175" fontId="51" fillId="0" borderId="22" xfId="50" applyFont="1" applyFill="1" applyBorder="1" applyAlignment="1">
      <alignment vertical="center"/>
    </xf>
    <xf numFmtId="175" fontId="33" fillId="34" borderId="0" xfId="50" applyFont="1" applyFill="1" applyAlignment="1" applyProtection="1">
      <alignment/>
      <protection/>
    </xf>
    <xf numFmtId="175" fontId="0" fillId="34" borderId="0" xfId="50" applyFont="1" applyFill="1" applyAlignment="1">
      <alignment/>
    </xf>
    <xf numFmtId="175" fontId="0" fillId="34" borderId="0" xfId="0" applyNumberFormat="1" applyFill="1" applyAlignment="1">
      <alignment/>
    </xf>
    <xf numFmtId="175" fontId="0" fillId="34" borderId="0" xfId="50" applyFont="1" applyFill="1" applyAlignment="1">
      <alignment/>
    </xf>
    <xf numFmtId="218" fontId="0" fillId="34" borderId="0" xfId="50" applyNumberFormat="1" applyFont="1" applyFill="1" applyAlignment="1">
      <alignment/>
    </xf>
    <xf numFmtId="3" fontId="0" fillId="34" borderId="0" xfId="0" applyNumberFormat="1" applyFill="1" applyAlignment="1">
      <alignment/>
    </xf>
    <xf numFmtId="195" fontId="116" fillId="0" borderId="32" xfId="0" applyNumberFormat="1" applyFont="1" applyFill="1" applyBorder="1" applyAlignment="1">
      <alignment/>
    </xf>
    <xf numFmtId="195" fontId="116" fillId="0" borderId="10" xfId="0" applyNumberFormat="1" applyFont="1" applyFill="1" applyBorder="1" applyAlignment="1">
      <alignment/>
    </xf>
    <xf numFmtId="195" fontId="116" fillId="0" borderId="11" xfId="0" applyNumberFormat="1" applyFont="1" applyFill="1" applyBorder="1" applyAlignment="1">
      <alignment/>
    </xf>
    <xf numFmtId="175" fontId="0" fillId="34" borderId="0" xfId="0" applyNumberFormat="1" applyFill="1" applyAlignment="1">
      <alignment horizontal="center"/>
    </xf>
    <xf numFmtId="9" fontId="0" fillId="34" borderId="0" xfId="56" applyFont="1" applyFill="1" applyAlignment="1">
      <alignment/>
    </xf>
    <xf numFmtId="169" fontId="0" fillId="34" borderId="0" xfId="0" applyNumberFormat="1" applyFill="1" applyAlignment="1">
      <alignment/>
    </xf>
    <xf numFmtId="197" fontId="0" fillId="41" borderId="0" xfId="0" applyNumberFormat="1" applyFill="1" applyAlignment="1">
      <alignment/>
    </xf>
    <xf numFmtId="218" fontId="34" fillId="47" borderId="22" xfId="50" applyNumberFormat="1" applyFont="1" applyFill="1" applyBorder="1" applyAlignment="1">
      <alignment horizontal="center" vertical="center"/>
    </xf>
    <xf numFmtId="197" fontId="53" fillId="0" borderId="0" xfId="0" applyNumberFormat="1" applyFont="1" applyFill="1" applyAlignment="1">
      <alignment/>
    </xf>
    <xf numFmtId="197" fontId="53" fillId="0" borderId="34" xfId="0" applyNumberFormat="1" applyFont="1" applyFill="1" applyBorder="1" applyAlignment="1">
      <alignment/>
    </xf>
    <xf numFmtId="197" fontId="49" fillId="0" borderId="35" xfId="0" applyNumberFormat="1" applyFont="1" applyFill="1" applyBorder="1" applyAlignment="1">
      <alignment/>
    </xf>
    <xf numFmtId="197" fontId="117" fillId="0" borderId="0" xfId="0" applyNumberFormat="1" applyFont="1" applyFill="1" applyAlignment="1">
      <alignment/>
    </xf>
    <xf numFmtId="197" fontId="53" fillId="0" borderId="16" xfId="0" applyNumberFormat="1" applyFont="1" applyFill="1" applyBorder="1" applyAlignment="1">
      <alignment/>
    </xf>
    <xf numFmtId="197" fontId="53" fillId="0" borderId="17" xfId="0" applyNumberFormat="1" applyFont="1" applyFill="1" applyBorder="1" applyAlignment="1">
      <alignment/>
    </xf>
    <xf numFmtId="197" fontId="49" fillId="0" borderId="17" xfId="0" applyNumberFormat="1" applyFont="1" applyFill="1" applyBorder="1" applyAlignment="1">
      <alignment/>
    </xf>
    <xf numFmtId="197" fontId="49" fillId="0" borderId="10" xfId="0" applyNumberFormat="1" applyFont="1" applyFill="1" applyBorder="1" applyAlignment="1">
      <alignment/>
    </xf>
    <xf numFmtId="197" fontId="54" fillId="0" borderId="10" xfId="46" applyNumberFormat="1" applyFont="1" applyFill="1" applyBorder="1" applyAlignment="1" applyProtection="1">
      <alignment/>
      <protection/>
    </xf>
    <xf numFmtId="0" fontId="95" fillId="32" borderId="0" xfId="46" applyFill="1" applyAlignment="1" applyProtection="1">
      <alignment/>
      <protection/>
    </xf>
    <xf numFmtId="0" fontId="95" fillId="32" borderId="0" xfId="46" applyFill="1" applyAlignment="1" applyProtection="1">
      <alignment horizontal="left"/>
      <protection/>
    </xf>
    <xf numFmtId="0" fontId="95" fillId="32" borderId="0" xfId="46" applyFill="1" applyAlignment="1" applyProtection="1">
      <alignment horizontal="center"/>
      <protection/>
    </xf>
    <xf numFmtId="0" fontId="18" fillId="32" borderId="55" xfId="0" applyFont="1" applyFill="1" applyBorder="1" applyAlignment="1">
      <alignment horizontal="center" vertical="center"/>
    </xf>
    <xf numFmtId="0" fontId="18" fillId="32" borderId="56" xfId="0" applyFont="1" applyFill="1" applyBorder="1" applyAlignment="1">
      <alignment horizontal="center" vertical="center"/>
    </xf>
    <xf numFmtId="0" fontId="18" fillId="32" borderId="57" xfId="0" applyFont="1" applyFill="1" applyBorder="1" applyAlignment="1">
      <alignment horizontal="center" vertical="center"/>
    </xf>
    <xf numFmtId="0" fontId="18" fillId="32" borderId="58" xfId="0" applyFont="1" applyFill="1" applyBorder="1" applyAlignment="1">
      <alignment horizontal="center" vertical="center"/>
    </xf>
    <xf numFmtId="0" fontId="18" fillId="32" borderId="59" xfId="0" applyFont="1" applyFill="1" applyBorder="1" applyAlignment="1">
      <alignment horizontal="center" vertical="center"/>
    </xf>
    <xf numFmtId="0" fontId="18" fillId="32" borderId="60" xfId="0" applyFont="1" applyFill="1" applyBorder="1" applyAlignment="1">
      <alignment horizontal="center" vertical="center"/>
    </xf>
    <xf numFmtId="0" fontId="20" fillId="32" borderId="25" xfId="46" applyFont="1" applyFill="1" applyBorder="1" applyAlignment="1" applyProtection="1">
      <alignment horizontal="center" vertical="center"/>
      <protection/>
    </xf>
    <xf numFmtId="0" fontId="20" fillId="32" borderId="26" xfId="46" applyFont="1" applyFill="1" applyBorder="1" applyAlignment="1" applyProtection="1">
      <alignment horizontal="center" vertical="center"/>
      <protection/>
    </xf>
    <xf numFmtId="0" fontId="20" fillId="32" borderId="27" xfId="46" applyFont="1" applyFill="1" applyBorder="1" applyAlignment="1" applyProtection="1">
      <alignment horizontal="center" vertical="center"/>
      <protection/>
    </xf>
    <xf numFmtId="0" fontId="20" fillId="32" borderId="25" xfId="46" applyFont="1" applyFill="1" applyBorder="1" applyAlignment="1" applyProtection="1">
      <alignment horizontal="center" vertical="center" wrapText="1"/>
      <protection/>
    </xf>
    <xf numFmtId="0" fontId="20" fillId="32" borderId="26" xfId="46" applyFont="1" applyFill="1" applyBorder="1" applyAlignment="1" applyProtection="1">
      <alignment horizontal="center" vertical="center" wrapText="1"/>
      <protection/>
    </xf>
    <xf numFmtId="0" fontId="20" fillId="32" borderId="27" xfId="46" applyFont="1" applyFill="1" applyBorder="1" applyAlignment="1" applyProtection="1">
      <alignment horizontal="center" vertical="center" wrapText="1"/>
      <protection/>
    </xf>
    <xf numFmtId="0" fontId="105" fillId="32" borderId="12" xfId="0" applyFont="1" applyFill="1" applyBorder="1" applyAlignment="1">
      <alignment horizontal="center"/>
    </xf>
    <xf numFmtId="0" fontId="105" fillId="32" borderId="13" xfId="0" applyFont="1" applyFill="1" applyBorder="1" applyAlignment="1">
      <alignment horizontal="center"/>
    </xf>
    <xf numFmtId="0" fontId="105" fillId="32" borderId="61" xfId="0" applyFont="1" applyFill="1" applyBorder="1" applyAlignment="1">
      <alignment horizontal="left"/>
    </xf>
    <xf numFmtId="0" fontId="105" fillId="32" borderId="62" xfId="0" applyFont="1" applyFill="1" applyBorder="1" applyAlignment="1">
      <alignment horizontal="left"/>
    </xf>
    <xf numFmtId="0" fontId="105" fillId="32" borderId="12" xfId="0" applyFont="1" applyFill="1" applyBorder="1" applyAlignment="1">
      <alignment horizontal="left"/>
    </xf>
    <xf numFmtId="0" fontId="105" fillId="32" borderId="13" xfId="0" applyFont="1" applyFill="1" applyBorder="1" applyAlignment="1">
      <alignment horizontal="left"/>
    </xf>
    <xf numFmtId="0" fontId="105" fillId="32" borderId="24" xfId="0" applyFont="1" applyFill="1" applyBorder="1" applyAlignment="1">
      <alignment horizontal="left"/>
    </xf>
    <xf numFmtId="0" fontId="105" fillId="32" borderId="37" xfId="0" applyFont="1" applyFill="1" applyBorder="1" applyAlignment="1">
      <alignment horizontal="left"/>
    </xf>
    <xf numFmtId="0" fontId="107" fillId="39" borderId="30" xfId="0" applyFont="1" applyFill="1" applyBorder="1" applyAlignment="1">
      <alignment horizontal="center"/>
    </xf>
    <xf numFmtId="0" fontId="107" fillId="39" borderId="45" xfId="0" applyFont="1" applyFill="1" applyBorder="1" applyAlignment="1">
      <alignment horizontal="center"/>
    </xf>
    <xf numFmtId="0" fontId="107" fillId="39" borderId="46" xfId="0" applyFont="1" applyFill="1" applyBorder="1" applyAlignment="1">
      <alignment horizontal="center"/>
    </xf>
    <xf numFmtId="0" fontId="34" fillId="2" borderId="25" xfId="0" applyFont="1" applyFill="1" applyBorder="1" applyAlignment="1">
      <alignment horizontal="center"/>
    </xf>
    <xf numFmtId="0" fontId="34" fillId="2" borderId="27" xfId="0" applyFont="1" applyFill="1" applyBorder="1" applyAlignment="1">
      <alignment horizontal="center"/>
    </xf>
    <xf numFmtId="0" fontId="105" fillId="43" borderId="25" xfId="0" applyFont="1" applyFill="1" applyBorder="1" applyAlignment="1">
      <alignment horizontal="left"/>
    </xf>
    <xf numFmtId="0" fontId="105" fillId="43" borderId="27" xfId="0" applyFont="1" applyFill="1" applyBorder="1" applyAlignment="1">
      <alignment horizontal="left"/>
    </xf>
    <xf numFmtId="0" fontId="118" fillId="2" borderId="25" xfId="0" applyFont="1" applyFill="1" applyBorder="1" applyAlignment="1">
      <alignment horizontal="left"/>
    </xf>
    <xf numFmtId="0" fontId="118" fillId="2" borderId="27" xfId="0" applyFont="1" applyFill="1" applyBorder="1" applyAlignment="1">
      <alignment horizontal="left"/>
    </xf>
    <xf numFmtId="0" fontId="15" fillId="49" borderId="34" xfId="0" applyFont="1" applyFill="1" applyBorder="1" applyAlignment="1">
      <alignment horizontal="center"/>
    </xf>
    <xf numFmtId="0" fontId="15" fillId="49" borderId="35" xfId="0" applyFont="1" applyFill="1" applyBorder="1" applyAlignment="1">
      <alignment horizontal="center"/>
    </xf>
    <xf numFmtId="0" fontId="41" fillId="39" borderId="25" xfId="0" applyFont="1" applyFill="1" applyBorder="1" applyAlignment="1">
      <alignment horizontal="center"/>
    </xf>
    <xf numFmtId="0" fontId="41" fillId="39" borderId="27" xfId="0" applyFont="1" applyFill="1" applyBorder="1" applyAlignment="1">
      <alignment horizontal="center"/>
    </xf>
    <xf numFmtId="0" fontId="118" fillId="2" borderId="0" xfId="0" applyFont="1" applyFill="1" applyAlignment="1">
      <alignment horizontal="left"/>
    </xf>
    <xf numFmtId="0" fontId="4" fillId="2" borderId="0" xfId="0" applyFont="1" applyFill="1" applyAlignment="1" applyProtection="1">
      <alignment horizontal="left" wrapText="1" shrinkToFit="1"/>
      <protection locked="0"/>
    </xf>
    <xf numFmtId="0" fontId="4" fillId="2" borderId="0" xfId="0" applyFont="1" applyFill="1" applyAlignment="1" applyProtection="1">
      <alignment horizontal="left" shrinkToFit="1"/>
      <protection locked="0"/>
    </xf>
    <xf numFmtId="0" fontId="29" fillId="2" borderId="0" xfId="0" applyFont="1" applyFill="1" applyAlignment="1">
      <alignment horizontal="left"/>
    </xf>
    <xf numFmtId="0" fontId="34" fillId="2" borderId="0" xfId="0" applyFont="1" applyFill="1" applyAlignment="1">
      <alignment horizontal="center"/>
    </xf>
    <xf numFmtId="0" fontId="15" fillId="39" borderId="30" xfId="0" applyFont="1" applyFill="1" applyBorder="1" applyAlignment="1">
      <alignment horizontal="center"/>
    </xf>
    <xf numFmtId="0" fontId="15" fillId="39" borderId="46" xfId="0" applyFont="1" applyFill="1" applyBorder="1" applyAlignment="1">
      <alignment horizontal="center"/>
    </xf>
    <xf numFmtId="10" fontId="34" fillId="32" borderId="13" xfId="56" applyNumberFormat="1" applyFont="1" applyFill="1" applyBorder="1" applyAlignment="1">
      <alignment horizontal="right"/>
    </xf>
    <xf numFmtId="10" fontId="34" fillId="32" borderId="10" xfId="56" applyNumberFormat="1" applyFont="1" applyFill="1" applyBorder="1" applyAlignment="1">
      <alignment horizontal="right"/>
    </xf>
    <xf numFmtId="0" fontId="4" fillId="2" borderId="25" xfId="0" applyFont="1" applyFill="1" applyBorder="1" applyAlignment="1" applyProtection="1">
      <alignment horizontal="left" wrapText="1" shrinkToFit="1"/>
      <protection locked="0"/>
    </xf>
    <xf numFmtId="0" fontId="4" fillId="2" borderId="27" xfId="0" applyFont="1" applyFill="1" applyBorder="1" applyAlignment="1" applyProtection="1">
      <alignment horizontal="left" wrapText="1" shrinkToFit="1"/>
      <protection locked="0"/>
    </xf>
    <xf numFmtId="0" fontId="4" fillId="2" borderId="25" xfId="0" applyFont="1" applyFill="1" applyBorder="1" applyAlignment="1" applyProtection="1">
      <alignment horizontal="left" shrinkToFit="1"/>
      <protection locked="0"/>
    </xf>
    <xf numFmtId="0" fontId="4" fillId="2" borderId="27" xfId="0" applyFont="1" applyFill="1" applyBorder="1" applyAlignment="1" applyProtection="1">
      <alignment horizontal="left" shrinkToFit="1"/>
      <protection locked="0"/>
    </xf>
    <xf numFmtId="0" fontId="29" fillId="43" borderId="25" xfId="0" applyFont="1" applyFill="1" applyBorder="1" applyAlignment="1">
      <alignment horizontal="left"/>
    </xf>
    <xf numFmtId="0" fontId="29" fillId="43" borderId="27" xfId="0" applyFont="1" applyFill="1" applyBorder="1" applyAlignment="1">
      <alignment horizontal="left"/>
    </xf>
    <xf numFmtId="0" fontId="34" fillId="45" borderId="25" xfId="0" applyFont="1" applyFill="1" applyBorder="1" applyAlignment="1">
      <alignment horizontal="center"/>
    </xf>
    <xf numFmtId="0" fontId="34" fillId="45" borderId="27" xfId="0" applyFont="1" applyFill="1" applyBorder="1" applyAlignment="1">
      <alignment horizontal="center"/>
    </xf>
    <xf numFmtId="0" fontId="105" fillId="43" borderId="23" xfId="0" applyFont="1" applyFill="1" applyBorder="1" applyAlignment="1">
      <alignment horizontal="center"/>
    </xf>
    <xf numFmtId="0" fontId="105" fillId="43" borderId="14" xfId="0" applyFont="1" applyFill="1" applyBorder="1" applyAlignment="1">
      <alignment horizontal="center"/>
    </xf>
    <xf numFmtId="0" fontId="105" fillId="32" borderId="23" xfId="0" applyFont="1" applyFill="1" applyBorder="1" applyAlignment="1">
      <alignment horizontal="center"/>
    </xf>
    <xf numFmtId="0" fontId="105" fillId="32" borderId="14" xfId="0" applyFont="1" applyFill="1" applyBorder="1" applyAlignment="1">
      <alignment horizontal="center"/>
    </xf>
    <xf numFmtId="4" fontId="2" fillId="39" borderId="25" xfId="54" applyNumberFormat="1" applyFont="1" applyFill="1" applyBorder="1" applyAlignment="1">
      <alignment horizontal="center" vertical="justify"/>
      <protection/>
    </xf>
    <xf numFmtId="4" fontId="2" fillId="39" borderId="27" xfId="54" applyNumberFormat="1" applyFont="1" applyFill="1" applyBorder="1" applyAlignment="1">
      <alignment horizontal="center" vertical="justify"/>
      <protection/>
    </xf>
    <xf numFmtId="0" fontId="105" fillId="43" borderId="12" xfId="0" applyFont="1" applyFill="1" applyBorder="1" applyAlignment="1">
      <alignment horizontal="center"/>
    </xf>
    <xf numFmtId="0" fontId="105" fillId="43" borderId="13" xfId="0" applyFont="1" applyFill="1" applyBorder="1" applyAlignment="1">
      <alignment horizontal="center"/>
    </xf>
    <xf numFmtId="0" fontId="2" fillId="43" borderId="61" xfId="0" applyFont="1" applyFill="1" applyBorder="1" applyAlignment="1">
      <alignment horizontal="left"/>
    </xf>
    <xf numFmtId="0" fontId="2" fillId="43" borderId="62" xfId="0" applyFont="1" applyFill="1" applyBorder="1" applyAlignment="1">
      <alignment horizontal="left"/>
    </xf>
    <xf numFmtId="0" fontId="2" fillId="43" borderId="61" xfId="0" applyFont="1" applyFill="1" applyBorder="1" applyAlignment="1">
      <alignment horizontal="center"/>
    </xf>
    <xf numFmtId="0" fontId="2" fillId="43" borderId="62" xfId="0" applyFont="1" applyFill="1" applyBorder="1" applyAlignment="1">
      <alignment horizontal="center"/>
    </xf>
    <xf numFmtId="0" fontId="105" fillId="32" borderId="61" xfId="0" applyFont="1" applyFill="1" applyBorder="1" applyAlignment="1">
      <alignment horizontal="center"/>
    </xf>
    <xf numFmtId="0" fontId="105" fillId="32" borderId="62" xfId="0" applyFont="1" applyFill="1" applyBorder="1" applyAlignment="1">
      <alignment horizontal="center"/>
    </xf>
    <xf numFmtId="0" fontId="2" fillId="0" borderId="61" xfId="0" applyFont="1" applyFill="1" applyBorder="1" applyAlignment="1">
      <alignment horizontal="left"/>
    </xf>
    <xf numFmtId="0" fontId="2" fillId="0" borderId="62" xfId="0" applyFont="1" applyFill="1" applyBorder="1" applyAlignment="1">
      <alignment horizontal="left"/>
    </xf>
    <xf numFmtId="0" fontId="2" fillId="0" borderId="63" xfId="0" applyFont="1" applyFill="1" applyBorder="1" applyAlignment="1">
      <alignment horizontal="left"/>
    </xf>
    <xf numFmtId="0" fontId="2" fillId="0" borderId="64" xfId="0" applyFont="1" applyFill="1" applyBorder="1" applyAlignment="1">
      <alignment horizontal="left"/>
    </xf>
    <xf numFmtId="0" fontId="2" fillId="43" borderId="63" xfId="0" applyFont="1" applyFill="1" applyBorder="1" applyAlignment="1">
      <alignment horizontal="center"/>
    </xf>
    <xf numFmtId="0" fontId="2" fillId="43" borderId="64" xfId="0" applyFont="1" applyFill="1" applyBorder="1" applyAlignment="1">
      <alignment horizontal="center"/>
    </xf>
    <xf numFmtId="0" fontId="105" fillId="32" borderId="24" xfId="0" applyFont="1" applyFill="1" applyBorder="1" applyAlignment="1">
      <alignment horizontal="center"/>
    </xf>
    <xf numFmtId="0" fontId="105" fillId="32" borderId="37" xfId="0" applyFont="1" applyFill="1" applyBorder="1" applyAlignment="1">
      <alignment horizontal="center"/>
    </xf>
    <xf numFmtId="0" fontId="15" fillId="49" borderId="25" xfId="0" applyFont="1" applyFill="1" applyBorder="1" applyAlignment="1">
      <alignment horizontal="center"/>
    </xf>
    <xf numFmtId="0" fontId="15" fillId="49" borderId="27" xfId="0" applyFont="1" applyFill="1" applyBorder="1" applyAlignment="1">
      <alignment horizontal="center"/>
    </xf>
    <xf numFmtId="0" fontId="34" fillId="2" borderId="23" xfId="0" applyFont="1" applyFill="1" applyBorder="1" applyAlignment="1">
      <alignment horizontal="left"/>
    </xf>
    <xf numFmtId="0" fontId="34" fillId="2" borderId="14" xfId="0" applyFont="1" applyFill="1" applyBorder="1" applyAlignment="1">
      <alignment horizontal="left"/>
    </xf>
    <xf numFmtId="0" fontId="80" fillId="39" borderId="25" xfId="0" applyFont="1" applyFill="1" applyBorder="1" applyAlignment="1">
      <alignment horizontal="center"/>
    </xf>
    <xf numFmtId="0" fontId="80" fillId="39" borderId="27" xfId="0" applyFont="1" applyFill="1" applyBorder="1" applyAlignment="1">
      <alignment horizontal="center"/>
    </xf>
    <xf numFmtId="10" fontId="49" fillId="48" borderId="30" xfId="0" applyNumberFormat="1" applyFont="1" applyFill="1" applyBorder="1" applyAlignment="1">
      <alignment horizontal="center"/>
    </xf>
    <xf numFmtId="10" fontId="49" fillId="48" borderId="46" xfId="0" applyNumberFormat="1" applyFont="1" applyFill="1" applyBorder="1" applyAlignment="1">
      <alignment horizontal="center"/>
    </xf>
    <xf numFmtId="0" fontId="107" fillId="49" borderId="30" xfId="0" applyFont="1" applyFill="1" applyBorder="1" applyAlignment="1">
      <alignment horizontal="center"/>
    </xf>
    <xf numFmtId="0" fontId="107" fillId="49" borderId="45" xfId="0" applyFont="1" applyFill="1" applyBorder="1" applyAlignment="1">
      <alignment horizontal="center"/>
    </xf>
    <xf numFmtId="0" fontId="107" fillId="49" borderId="46" xfId="0" applyFont="1" applyFill="1" applyBorder="1" applyAlignment="1">
      <alignment horizontal="center"/>
    </xf>
    <xf numFmtId="0" fontId="107" fillId="39" borderId="25" xfId="0" applyFont="1" applyFill="1" applyBorder="1" applyAlignment="1">
      <alignment horizontal="center"/>
    </xf>
    <xf numFmtId="0" fontId="107" fillId="39" borderId="26" xfId="0" applyFont="1" applyFill="1" applyBorder="1" applyAlignment="1">
      <alignment horizontal="center"/>
    </xf>
    <xf numFmtId="0" fontId="107" fillId="39" borderId="27" xfId="0" applyFont="1" applyFill="1" applyBorder="1" applyAlignment="1">
      <alignment horizontal="center"/>
    </xf>
    <xf numFmtId="0" fontId="34" fillId="2" borderId="12" xfId="0" applyFont="1" applyFill="1" applyBorder="1" applyAlignment="1">
      <alignment horizontal="left"/>
    </xf>
    <xf numFmtId="0" fontId="34" fillId="2" borderId="13" xfId="0" applyFont="1" applyFill="1" applyBorder="1" applyAlignment="1">
      <alignment horizontal="left"/>
    </xf>
    <xf numFmtId="0" fontId="105" fillId="32" borderId="61" xfId="0" applyFont="1" applyFill="1" applyBorder="1" applyAlignment="1">
      <alignment/>
    </xf>
    <xf numFmtId="0" fontId="105" fillId="32" borderId="62" xfId="0" applyFont="1" applyFill="1" applyBorder="1" applyAlignment="1">
      <alignment/>
    </xf>
    <xf numFmtId="0" fontId="34" fillId="2" borderId="24" xfId="0" applyFont="1" applyFill="1" applyBorder="1" applyAlignment="1">
      <alignment horizontal="left"/>
    </xf>
    <xf numFmtId="0" fontId="34" fillId="2" borderId="37" xfId="0" applyFont="1" applyFill="1" applyBorder="1" applyAlignment="1">
      <alignment horizontal="left"/>
    </xf>
    <xf numFmtId="0" fontId="107" fillId="39" borderId="34" xfId="0" applyFont="1" applyFill="1" applyBorder="1" applyAlignment="1">
      <alignment horizontal="center"/>
    </xf>
    <xf numFmtId="0" fontId="107" fillId="39" borderId="35" xfId="0" applyFont="1" applyFill="1" applyBorder="1" applyAlignment="1">
      <alignment horizontal="center"/>
    </xf>
    <xf numFmtId="10" fontId="15" fillId="39" borderId="30" xfId="0" applyNumberFormat="1" applyFont="1" applyFill="1" applyBorder="1" applyAlignment="1">
      <alignment horizontal="center"/>
    </xf>
    <xf numFmtId="10" fontId="15" fillId="39" borderId="46" xfId="0" applyNumberFormat="1" applyFont="1" applyFill="1" applyBorder="1" applyAlignment="1">
      <alignment horizontal="center"/>
    </xf>
    <xf numFmtId="4" fontId="12" fillId="46" borderId="13" xfId="54" applyNumberFormat="1" applyFont="1" applyFill="1" applyBorder="1" applyAlignment="1">
      <alignment horizontal="center" vertical="justify"/>
      <protection/>
    </xf>
    <xf numFmtId="4" fontId="12" fillId="46" borderId="10" xfId="54" applyNumberFormat="1" applyFont="1" applyFill="1" applyBorder="1" applyAlignment="1">
      <alignment horizontal="center" vertical="justify"/>
      <protection/>
    </xf>
    <xf numFmtId="0" fontId="119" fillId="2" borderId="0" xfId="0" applyFont="1" applyFill="1" applyAlignment="1">
      <alignment horizontal="center" vertical="center"/>
    </xf>
    <xf numFmtId="9" fontId="13" fillId="49" borderId="30" xfId="56" applyFont="1" applyFill="1" applyBorder="1" applyAlignment="1">
      <alignment horizontal="center"/>
    </xf>
    <xf numFmtId="9" fontId="13" fillId="49" borderId="46" xfId="56" applyFont="1" applyFill="1" applyBorder="1" applyAlignment="1">
      <alignment horizontal="center"/>
    </xf>
    <xf numFmtId="0" fontId="120" fillId="2" borderId="20" xfId="0" applyFont="1" applyFill="1" applyBorder="1" applyAlignment="1">
      <alignment horizontal="center" vertical="center" wrapText="1"/>
    </xf>
    <xf numFmtId="0" fontId="119" fillId="2" borderId="0" xfId="46" applyFont="1" applyFill="1" applyAlignment="1" applyProtection="1">
      <alignment horizontal="center" vertical="center"/>
      <protection/>
    </xf>
    <xf numFmtId="174" fontId="106" fillId="46" borderId="25" xfId="52" applyFont="1" applyFill="1" applyBorder="1" applyAlignment="1">
      <alignment horizontal="center"/>
    </xf>
    <xf numFmtId="174" fontId="106" fillId="46" borderId="27" xfId="52" applyFont="1" applyFill="1" applyBorder="1" applyAlignment="1">
      <alignment horizontal="center"/>
    </xf>
    <xf numFmtId="0" fontId="15" fillId="39" borderId="25" xfId="0" applyFont="1" applyFill="1" applyBorder="1" applyAlignment="1">
      <alignment horizontal="center" vertical="center"/>
    </xf>
    <xf numFmtId="0" fontId="15" fillId="39" borderId="26" xfId="0" applyFont="1" applyFill="1" applyBorder="1" applyAlignment="1">
      <alignment horizontal="center" vertical="center"/>
    </xf>
    <xf numFmtId="0" fontId="15" fillId="39" borderId="27" xfId="0" applyFont="1" applyFill="1" applyBorder="1" applyAlignment="1">
      <alignment horizontal="center" vertical="center"/>
    </xf>
    <xf numFmtId="4" fontId="12" fillId="46" borderId="48" xfId="54" applyNumberFormat="1" applyFont="1" applyFill="1" applyBorder="1" applyAlignment="1">
      <alignment horizontal="center" vertical="justify"/>
      <protection/>
    </xf>
    <xf numFmtId="4" fontId="12" fillId="46" borderId="49" xfId="54" applyNumberFormat="1" applyFont="1" applyFill="1" applyBorder="1" applyAlignment="1">
      <alignment horizontal="center" vertical="justify"/>
      <protection/>
    </xf>
    <xf numFmtId="0" fontId="106" fillId="44" borderId="25" xfId="0" applyFont="1" applyFill="1" applyBorder="1" applyAlignment="1">
      <alignment horizontal="center" vertical="center" wrapText="1"/>
    </xf>
    <xf numFmtId="0" fontId="106" fillId="44" borderId="26" xfId="0" applyFont="1" applyFill="1" applyBorder="1" applyAlignment="1">
      <alignment horizontal="center" vertical="center" wrapText="1"/>
    </xf>
    <xf numFmtId="0" fontId="106" fillId="44" borderId="27" xfId="0" applyFont="1" applyFill="1" applyBorder="1" applyAlignment="1">
      <alignment horizontal="center" vertical="center" wrapText="1"/>
    </xf>
    <xf numFmtId="10" fontId="34" fillId="32" borderId="14" xfId="56" applyNumberFormat="1" applyFont="1" applyFill="1" applyBorder="1" applyAlignment="1">
      <alignment horizontal="right"/>
    </xf>
    <xf numFmtId="10" fontId="34" fillId="32" borderId="11" xfId="56" applyNumberFormat="1" applyFont="1" applyFill="1" applyBorder="1" applyAlignment="1">
      <alignment horizontal="right"/>
    </xf>
    <xf numFmtId="0" fontId="105" fillId="2" borderId="25" xfId="0" applyFont="1" applyFill="1" applyBorder="1" applyAlignment="1">
      <alignment horizontal="center"/>
    </xf>
    <xf numFmtId="0" fontId="105" fillId="2" borderId="27" xfId="0" applyFont="1" applyFill="1" applyBorder="1" applyAlignment="1">
      <alignment horizontal="center"/>
    </xf>
    <xf numFmtId="10" fontId="105" fillId="2" borderId="25" xfId="0" applyNumberFormat="1" applyFont="1" applyFill="1" applyBorder="1" applyAlignment="1">
      <alignment horizontal="center"/>
    </xf>
    <xf numFmtId="10" fontId="105" fillId="2" borderId="27" xfId="0" applyNumberFormat="1" applyFont="1" applyFill="1" applyBorder="1" applyAlignment="1">
      <alignment horizontal="center"/>
    </xf>
    <xf numFmtId="0" fontId="106" fillId="32" borderId="30" xfId="0" applyFont="1" applyFill="1" applyBorder="1" applyAlignment="1">
      <alignment horizontal="left"/>
    </xf>
    <xf numFmtId="0" fontId="106" fillId="32" borderId="45" xfId="0" applyFont="1" applyFill="1" applyBorder="1" applyAlignment="1">
      <alignment horizontal="left"/>
    </xf>
    <xf numFmtId="0" fontId="15" fillId="39" borderId="34" xfId="0" applyFont="1" applyFill="1" applyBorder="1" applyAlignment="1">
      <alignment horizontal="center" vertical="center"/>
    </xf>
    <xf numFmtId="0" fontId="15" fillId="39" borderId="36" xfId="0" applyFont="1" applyFill="1" applyBorder="1" applyAlignment="1">
      <alignment horizontal="center" vertical="center"/>
    </xf>
    <xf numFmtId="0" fontId="15" fillId="39" borderId="35" xfId="0" applyFont="1" applyFill="1" applyBorder="1" applyAlignment="1">
      <alignment horizontal="center" vertical="center"/>
    </xf>
    <xf numFmtId="0" fontId="105" fillId="43" borderId="18" xfId="0" applyFont="1" applyFill="1" applyBorder="1" applyAlignment="1">
      <alignment horizontal="left"/>
    </xf>
    <xf numFmtId="0" fontId="105" fillId="43" borderId="19" xfId="0" applyFont="1" applyFill="1" applyBorder="1" applyAlignment="1">
      <alignment horizontal="left"/>
    </xf>
    <xf numFmtId="0" fontId="105" fillId="2" borderId="25" xfId="0" applyFont="1" applyFill="1" applyBorder="1" applyAlignment="1">
      <alignment horizontal="center" wrapText="1"/>
    </xf>
    <xf numFmtId="0" fontId="105" fillId="2" borderId="27" xfId="0" applyFont="1" applyFill="1" applyBorder="1" applyAlignment="1">
      <alignment horizontal="center" wrapText="1"/>
    </xf>
    <xf numFmtId="0" fontId="105" fillId="43" borderId="61" xfId="0" applyFont="1" applyFill="1" applyBorder="1" applyAlignment="1">
      <alignment horizontal="center"/>
    </xf>
    <xf numFmtId="0" fontId="105" fillId="43" borderId="62" xfId="0" applyFont="1" applyFill="1" applyBorder="1" applyAlignment="1">
      <alignment horizontal="center"/>
    </xf>
    <xf numFmtId="0" fontId="33" fillId="34" borderId="0" xfId="46" applyFont="1" applyFill="1" applyAlignment="1" applyProtection="1">
      <alignment horizontal="center"/>
      <protection/>
    </xf>
    <xf numFmtId="0" fontId="0" fillId="45" borderId="30" xfId="0" applyFill="1" applyBorder="1" applyAlignment="1">
      <alignment horizontal="center"/>
    </xf>
    <xf numFmtId="0" fontId="0" fillId="45" borderId="45" xfId="0" applyFill="1" applyBorder="1" applyAlignment="1">
      <alignment horizontal="center"/>
    </xf>
    <xf numFmtId="0" fontId="0" fillId="45" borderId="46" xfId="0" applyFill="1" applyBorder="1" applyAlignment="1">
      <alignment horizontal="center"/>
    </xf>
    <xf numFmtId="0" fontId="0" fillId="45" borderId="38" xfId="0" applyFill="1" applyBorder="1" applyAlignment="1">
      <alignment horizontal="center"/>
    </xf>
    <xf numFmtId="0" fontId="0" fillId="45" borderId="39" xfId="0" applyFill="1" applyBorder="1" applyAlignment="1">
      <alignment horizontal="center"/>
    </xf>
    <xf numFmtId="0" fontId="0" fillId="45" borderId="40" xfId="0" applyFill="1" applyBorder="1" applyAlignment="1">
      <alignment horizontal="center"/>
    </xf>
    <xf numFmtId="0" fontId="0" fillId="34" borderId="0" xfId="0" applyFill="1" applyAlignment="1">
      <alignment horizontal="center"/>
    </xf>
    <xf numFmtId="0" fontId="0" fillId="45" borderId="25" xfId="0" applyFill="1" applyBorder="1" applyAlignment="1">
      <alignment horizontal="center"/>
    </xf>
    <xf numFmtId="0" fontId="0" fillId="45" borderId="26" xfId="0" applyFill="1" applyBorder="1" applyAlignment="1">
      <alignment horizontal="center"/>
    </xf>
    <xf numFmtId="0" fontId="0" fillId="45" borderId="27" xfId="0" applyFill="1" applyBorder="1" applyAlignment="1">
      <alignment horizontal="center"/>
    </xf>
    <xf numFmtId="0" fontId="107" fillId="11" borderId="25" xfId="0" applyFont="1" applyFill="1" applyBorder="1" applyAlignment="1">
      <alignment horizontal="center"/>
    </xf>
    <xf numFmtId="0" fontId="107" fillId="11" borderId="26" xfId="0" applyFont="1" applyFill="1" applyBorder="1" applyAlignment="1">
      <alignment horizontal="center"/>
    </xf>
    <xf numFmtId="0" fontId="107" fillId="11" borderId="65" xfId="0" applyFont="1" applyFill="1" applyBorder="1" applyAlignment="1">
      <alignment horizontal="center"/>
    </xf>
    <xf numFmtId="0" fontId="33" fillId="34" borderId="0" xfId="46" applyFont="1" applyFill="1" applyAlignment="1" applyProtection="1">
      <alignment horizontal="center" vertical="center"/>
      <protection/>
    </xf>
    <xf numFmtId="0" fontId="107" fillId="11" borderId="27" xfId="0" applyFont="1" applyFill="1" applyBorder="1" applyAlignment="1">
      <alignment horizontal="center"/>
    </xf>
    <xf numFmtId="0" fontId="0" fillId="45" borderId="66" xfId="0" applyFill="1" applyBorder="1" applyAlignment="1">
      <alignment horizontal="center"/>
    </xf>
    <xf numFmtId="49" fontId="42" fillId="50" borderId="25" xfId="0" applyNumberFormat="1" applyFont="1" applyFill="1" applyBorder="1" applyAlignment="1">
      <alignment horizontal="center" vertical="center" wrapText="1"/>
    </xf>
    <xf numFmtId="49" fontId="42" fillId="50" borderId="26" xfId="0" applyNumberFormat="1" applyFont="1" applyFill="1" applyBorder="1" applyAlignment="1">
      <alignment horizontal="center" vertical="center" wrapText="1"/>
    </xf>
    <xf numFmtId="49" fontId="42" fillId="50" borderId="27" xfId="0" applyNumberFormat="1" applyFont="1" applyFill="1" applyBorder="1" applyAlignment="1">
      <alignment horizontal="center" vertical="center" wrapText="1"/>
    </xf>
    <xf numFmtId="0" fontId="11" fillId="43" borderId="48" xfId="0" applyFont="1" applyFill="1" applyBorder="1" applyAlignment="1">
      <alignment horizontal="center"/>
    </xf>
    <xf numFmtId="0" fontId="5" fillId="43" borderId="13" xfId="0" applyFont="1" applyFill="1" applyBorder="1" applyAlignment="1">
      <alignment horizontal="left"/>
    </xf>
    <xf numFmtId="0" fontId="11" fillId="43" borderId="13" xfId="0" applyFont="1" applyFill="1" applyBorder="1" applyAlignment="1">
      <alignment horizontal="center"/>
    </xf>
    <xf numFmtId="0" fontId="5" fillId="43" borderId="50" xfId="0" applyFont="1" applyFill="1" applyBorder="1" applyAlignment="1">
      <alignment horizontal="left"/>
    </xf>
    <xf numFmtId="0" fontId="5" fillId="43" borderId="62" xfId="0" applyFont="1" applyFill="1" applyBorder="1" applyAlignment="1">
      <alignment horizontal="left"/>
    </xf>
    <xf numFmtId="0" fontId="31" fillId="34" borderId="0" xfId="46" applyFont="1" applyFill="1" applyAlignment="1" applyProtection="1">
      <alignment horizontal="center" wrapText="1"/>
      <protection/>
    </xf>
    <xf numFmtId="4" fontId="11" fillId="45" borderId="25" xfId="54" applyNumberFormat="1" applyFont="1" applyFill="1" applyBorder="1" applyAlignment="1">
      <alignment horizontal="center"/>
      <protection/>
    </xf>
    <xf numFmtId="4" fontId="11" fillId="45" borderId="26" xfId="54" applyNumberFormat="1" applyFont="1" applyFill="1" applyBorder="1" applyAlignment="1">
      <alignment horizontal="center"/>
      <protection/>
    </xf>
    <xf numFmtId="4" fontId="11" fillId="45" borderId="27" xfId="54" applyNumberFormat="1" applyFont="1" applyFill="1" applyBorder="1" applyAlignment="1">
      <alignment horizontal="center"/>
      <protection/>
    </xf>
    <xf numFmtId="0" fontId="12" fillId="45" borderId="25" xfId="54" applyFont="1" applyFill="1" applyBorder="1" applyAlignment="1">
      <alignment horizontal="center" vertical="justify"/>
      <protection/>
    </xf>
    <xf numFmtId="0" fontId="12" fillId="45" borderId="26" xfId="54" applyFont="1" applyFill="1" applyBorder="1" applyAlignment="1">
      <alignment horizontal="center" vertical="justify"/>
      <protection/>
    </xf>
    <xf numFmtId="0" fontId="12" fillId="45" borderId="27" xfId="54" applyFont="1" applyFill="1" applyBorder="1" applyAlignment="1">
      <alignment horizontal="center" vertical="justify"/>
      <protection/>
    </xf>
    <xf numFmtId="0" fontId="11" fillId="45" borderId="25" xfId="54" applyFont="1" applyFill="1" applyBorder="1" applyAlignment="1">
      <alignment horizontal="center"/>
      <protection/>
    </xf>
    <xf numFmtId="0" fontId="11" fillId="45" borderId="26" xfId="54" applyFont="1" applyFill="1" applyBorder="1" applyAlignment="1">
      <alignment horizontal="center"/>
      <protection/>
    </xf>
    <xf numFmtId="0" fontId="11" fillId="45" borderId="27" xfId="54" applyFont="1" applyFill="1" applyBorder="1" applyAlignment="1">
      <alignment horizontal="center"/>
      <protection/>
    </xf>
    <xf numFmtId="0" fontId="32" fillId="34" borderId="0" xfId="46" applyFont="1" applyFill="1" applyAlignment="1" applyProtection="1">
      <alignment horizontal="center" wrapText="1"/>
      <protection/>
    </xf>
    <xf numFmtId="4" fontId="11" fillId="40" borderId="25" xfId="54" applyNumberFormat="1" applyFont="1" applyFill="1" applyBorder="1" applyAlignment="1">
      <alignment horizontal="center"/>
      <protection/>
    </xf>
    <xf numFmtId="4" fontId="11" fillId="40" borderId="26" xfId="54" applyNumberFormat="1" applyFont="1" applyFill="1" applyBorder="1" applyAlignment="1">
      <alignment horizontal="center"/>
      <protection/>
    </xf>
    <xf numFmtId="4" fontId="11" fillId="40" borderId="27" xfId="54" applyNumberFormat="1" applyFont="1" applyFill="1" applyBorder="1" applyAlignment="1">
      <alignment horizontal="center"/>
      <protection/>
    </xf>
    <xf numFmtId="4" fontId="12" fillId="50" borderId="25" xfId="54" applyNumberFormat="1" applyFont="1" applyFill="1" applyBorder="1" applyAlignment="1">
      <alignment horizontal="center" vertical="justify"/>
      <protection/>
    </xf>
    <xf numFmtId="4" fontId="12" fillId="50" borderId="26" xfId="54" applyNumberFormat="1" applyFont="1" applyFill="1" applyBorder="1" applyAlignment="1">
      <alignment horizontal="center" vertical="justify"/>
      <protection/>
    </xf>
    <xf numFmtId="4" fontId="12" fillId="50" borderId="27" xfId="54" applyNumberFormat="1" applyFont="1" applyFill="1" applyBorder="1" applyAlignment="1">
      <alignment horizontal="center" vertical="justify"/>
      <protection/>
    </xf>
    <xf numFmtId="0" fontId="7" fillId="38" borderId="25" xfId="0" applyFont="1" applyFill="1" applyBorder="1" applyAlignment="1">
      <alignment horizontal="center" vertical="center"/>
    </xf>
    <xf numFmtId="0" fontId="7" fillId="38" borderId="26" xfId="0" applyFont="1" applyFill="1" applyBorder="1" applyAlignment="1">
      <alignment horizontal="center" vertical="center"/>
    </xf>
    <xf numFmtId="0" fontId="7" fillId="38" borderId="27" xfId="0" applyFont="1" applyFill="1" applyBorder="1" applyAlignment="1">
      <alignment horizontal="center" vertical="center"/>
    </xf>
    <xf numFmtId="0" fontId="104" fillId="47" borderId="30" xfId="0" applyFont="1" applyFill="1" applyBorder="1" applyAlignment="1">
      <alignment horizontal="center"/>
    </xf>
    <xf numFmtId="0" fontId="104" fillId="47" borderId="45" xfId="0" applyFont="1" applyFill="1" applyBorder="1" applyAlignment="1">
      <alignment horizontal="center"/>
    </xf>
    <xf numFmtId="0" fontId="104" fillId="47" borderId="46" xfId="0" applyFont="1" applyFill="1" applyBorder="1" applyAlignment="1">
      <alignment horizontal="center"/>
    </xf>
    <xf numFmtId="0" fontId="51" fillId="0" borderId="25" xfId="0" applyFont="1" applyFill="1" applyBorder="1" applyAlignment="1">
      <alignment horizontal="center" vertical="center"/>
    </xf>
    <xf numFmtId="0" fontId="51" fillId="0" borderId="27" xfId="0" applyFont="1" applyFill="1" applyBorder="1" applyAlignment="1">
      <alignment horizontal="center" vertical="center"/>
    </xf>
    <xf numFmtId="0" fontId="11" fillId="38" borderId="30" xfId="0" applyFont="1" applyFill="1" applyBorder="1" applyAlignment="1">
      <alignment horizontal="center"/>
    </xf>
    <xf numFmtId="0" fontId="11" fillId="38" borderId="46" xfId="0" applyFont="1" applyFill="1" applyBorder="1" applyAlignment="1">
      <alignment horizontal="center"/>
    </xf>
    <xf numFmtId="197" fontId="12" fillId="44" borderId="25" xfId="0" applyNumberFormat="1" applyFont="1" applyFill="1" applyBorder="1" applyAlignment="1">
      <alignment horizontal="center"/>
    </xf>
    <xf numFmtId="197" fontId="12" fillId="44" borderId="26" xfId="0" applyNumberFormat="1" applyFont="1" applyFill="1" applyBorder="1" applyAlignment="1">
      <alignment horizontal="center"/>
    </xf>
    <xf numFmtId="197" fontId="12" fillId="44" borderId="27" xfId="0" applyNumberFormat="1" applyFont="1" applyFill="1" applyBorder="1" applyAlignment="1">
      <alignment horizontal="center"/>
    </xf>
    <xf numFmtId="197" fontId="12" fillId="38" borderId="25" xfId="0" applyNumberFormat="1" applyFont="1" applyFill="1" applyBorder="1" applyAlignment="1">
      <alignment horizontal="center"/>
    </xf>
    <xf numFmtId="197" fontId="12" fillId="38" borderId="26" xfId="0" applyNumberFormat="1" applyFont="1" applyFill="1" applyBorder="1" applyAlignment="1">
      <alignment horizontal="center"/>
    </xf>
    <xf numFmtId="197" fontId="12" fillId="38" borderId="27" xfId="0" applyNumberFormat="1" applyFont="1" applyFill="1" applyBorder="1" applyAlignment="1">
      <alignment horizontal="center"/>
    </xf>
    <xf numFmtId="197" fontId="24" fillId="34" borderId="0" xfId="0" applyNumberFormat="1" applyFont="1" applyFill="1" applyAlignment="1">
      <alignment horizontal="center"/>
    </xf>
    <xf numFmtId="197" fontId="53" fillId="0" borderId="25" xfId="0" applyNumberFormat="1" applyFont="1" applyFill="1" applyBorder="1" applyAlignment="1">
      <alignment horizontal="center"/>
    </xf>
    <xf numFmtId="197" fontId="53" fillId="0" borderId="26" xfId="0" applyNumberFormat="1" applyFont="1" applyFill="1" applyBorder="1" applyAlignment="1">
      <alignment horizontal="center"/>
    </xf>
    <xf numFmtId="197" fontId="53" fillId="0" borderId="27" xfId="0" applyNumberFormat="1" applyFont="1" applyFill="1" applyBorder="1" applyAlignment="1">
      <alignment horizontal="center"/>
    </xf>
    <xf numFmtId="0" fontId="38" fillId="45" borderId="34" xfId="0" applyFont="1" applyFill="1" applyBorder="1" applyAlignment="1">
      <alignment horizontal="center" vertical="center"/>
    </xf>
    <xf numFmtId="0" fontId="38" fillId="45" borderId="36" xfId="0" applyFont="1" applyFill="1" applyBorder="1" applyAlignment="1">
      <alignment horizontal="center" vertical="center"/>
    </xf>
    <xf numFmtId="0" fontId="38" fillId="45" borderId="35" xfId="0" applyFont="1" applyFill="1" applyBorder="1" applyAlignment="1">
      <alignment horizontal="center" vertical="center"/>
    </xf>
    <xf numFmtId="0" fontId="38" fillId="45" borderId="18" xfId="0" applyFont="1" applyFill="1" applyBorder="1" applyAlignment="1">
      <alignment horizontal="center" vertical="center"/>
    </xf>
    <xf numFmtId="0" fontId="38" fillId="45" borderId="20" xfId="0" applyFont="1" applyFill="1" applyBorder="1" applyAlignment="1">
      <alignment horizontal="center" vertical="center"/>
    </xf>
    <xf numFmtId="0" fontId="38" fillId="45" borderId="19"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8">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Rendimiento sobre Activos ROA </a:t>
            </a:r>
          </a:p>
        </c:rich>
      </c:tx>
      <c:layout>
        <c:manualLayout>
          <c:xMode val="factor"/>
          <c:yMode val="factor"/>
          <c:x val="-0.00125"/>
          <c:y val="-0.0075"/>
        </c:manualLayout>
      </c:layout>
      <c:spPr>
        <a:noFill/>
        <a:ln>
          <a:noFill/>
        </a:ln>
      </c:spPr>
    </c:title>
    <c:plotArea>
      <c:layout>
        <c:manualLayout>
          <c:xMode val="edge"/>
          <c:yMode val="edge"/>
          <c:x val="0.002"/>
          <c:y val="0.1265"/>
          <c:w val="0.98125"/>
          <c:h val="0.88175"/>
        </c:manualLayout>
      </c:layout>
      <c:barChart>
        <c:barDir val="col"/>
        <c:grouping val="clustered"/>
        <c:varyColors val="0"/>
        <c:ser>
          <c:idx val="0"/>
          <c:order val="0"/>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'EST DE RESULTADOS'!$B$27:$B$31</c:f>
              <c:numCache/>
            </c:numRef>
          </c:val>
        </c:ser>
        <c:overlap val="-27"/>
        <c:gapWidth val="219"/>
        <c:axId val="57634549"/>
        <c:axId val="48948894"/>
      </c:barChart>
      <c:catAx>
        <c:axId val="576345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8948894"/>
        <c:crosses val="autoZero"/>
        <c:auto val="1"/>
        <c:lblOffset val="100"/>
        <c:tickLblSkip val="1"/>
        <c:noMultiLvlLbl val="0"/>
      </c:catAx>
      <c:valAx>
        <c:axId val="4894889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763454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Rendimiento sobre Patrimonio ROE</a:t>
            </a:r>
          </a:p>
        </c:rich>
      </c:tx>
      <c:layout>
        <c:manualLayout>
          <c:xMode val="factor"/>
          <c:yMode val="factor"/>
          <c:x val="-0.0015"/>
          <c:y val="-0.00775"/>
        </c:manualLayout>
      </c:layout>
      <c:spPr>
        <a:noFill/>
        <a:ln>
          <a:noFill/>
        </a:ln>
      </c:spPr>
    </c:title>
    <c:plotArea>
      <c:layout>
        <c:manualLayout>
          <c:xMode val="edge"/>
          <c:yMode val="edge"/>
          <c:x val="0.00225"/>
          <c:y val="0.1305"/>
          <c:w val="0.98125"/>
          <c:h val="0.8665"/>
        </c:manualLayout>
      </c:layout>
      <c:barChart>
        <c:barDir val="col"/>
        <c:grouping val="clustered"/>
        <c:varyColors val="0"/>
        <c:ser>
          <c:idx val="0"/>
          <c:order val="0"/>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'EST DE RESULTADOS'!$B$35:$B$39</c:f>
              <c:numCache/>
            </c:numRef>
          </c:val>
        </c:ser>
        <c:overlap val="-27"/>
        <c:gapWidth val="219"/>
        <c:axId val="37886863"/>
        <c:axId val="5437448"/>
      </c:barChart>
      <c:catAx>
        <c:axId val="3788686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437448"/>
        <c:crosses val="autoZero"/>
        <c:auto val="1"/>
        <c:lblOffset val="100"/>
        <c:tickLblSkip val="1"/>
        <c:noMultiLvlLbl val="0"/>
      </c:catAx>
      <c:valAx>
        <c:axId val="543744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788686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PRESUPUESTO MAESTRO'!A1" /></Relationships>
</file>

<file path=xl/drawings/_rels/drawing2.xml.rels><?xml version="1.0" encoding="utf-8" standalone="yes"?><Relationships xmlns="http://schemas.openxmlformats.org/package/2006/relationships"><Relationship Id="rId1" Type="http://schemas.openxmlformats.org/officeDocument/2006/relationships/hyperlink" Target="#DATOS!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66675</xdr:rowOff>
    </xdr:from>
    <xdr:to>
      <xdr:col>11</xdr:col>
      <xdr:colOff>228600</xdr:colOff>
      <xdr:row>21</xdr:row>
      <xdr:rowOff>47625</xdr:rowOff>
    </xdr:to>
    <xdr:sp>
      <xdr:nvSpPr>
        <xdr:cNvPr id="1" name="1 Rectángulo redondeado">
          <a:hlinkClick r:id="rId1"/>
        </xdr:cNvPr>
        <xdr:cNvSpPr>
          <a:spLocks/>
        </xdr:cNvSpPr>
      </xdr:nvSpPr>
      <xdr:spPr>
        <a:xfrm>
          <a:off x="142875" y="66675"/>
          <a:ext cx="8467725" cy="3981450"/>
        </a:xfrm>
        <a:prstGeom prst="round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3200" b="0" i="0" u="none" baseline="0">
              <a:solidFill>
                <a:srgbClr val="FFFFFF"/>
              </a:solidFill>
              <a:latin typeface="Calibri"/>
              <a:ea typeface="Calibri"/>
              <a:cs typeface="Calibri"/>
            </a:rPr>
            <a:t>BIENVENIDO AL</a:t>
          </a:r>
          <a:r>
            <a:rPr lang="en-US" cap="none" sz="3200" b="0" i="0" u="none" baseline="0">
              <a:solidFill>
                <a:srgbClr val="FFFFFF"/>
              </a:solidFill>
              <a:latin typeface="Calibri"/>
              <a:ea typeface="Calibri"/>
              <a:cs typeface="Calibri"/>
            </a:rPr>
            <a:t>  APLICATIVO FINANCIERO 
</a:t>
          </a:r>
          <a:r>
            <a:rPr lang="en-US" cap="none" sz="3200" b="0" i="0" u="none" baseline="0">
              <a:solidFill>
                <a:srgbClr val="FFFFFF"/>
              </a:solidFill>
              <a:latin typeface="Calibri"/>
              <a:ea typeface="Calibri"/>
              <a:cs typeface="Calibri"/>
            </a:rPr>
            <a:t>POR FAVOR SIGA LAS INSTRUCIONES PASO A PASO
</a:t>
          </a:r>
          <a:r>
            <a:rPr lang="en-US" cap="none" sz="3200" b="0" i="0" u="none" baseline="0">
              <a:solidFill>
                <a:srgbClr val="FFFFFF"/>
              </a:solidFill>
              <a:latin typeface="Calibri"/>
              <a:ea typeface="Calibri"/>
              <a:cs typeface="Calibri"/>
            </a:rPr>
            <a:t>
</a:t>
          </a:r>
          <a:r>
            <a:rPr lang="en-US" cap="none" sz="3200" b="0" i="0" u="none" baseline="0">
              <a:solidFill>
                <a:srgbClr val="FFFFFF"/>
              </a:solidFill>
              <a:latin typeface="Calibri"/>
              <a:ea typeface="Calibri"/>
              <a:cs typeface="Calibri"/>
            </a:rPr>
            <a:t>DAR CLICK PARA INICIAR</a:t>
          </a:r>
        </a:p>
      </xdr:txBody>
    </xdr:sp>
    <xdr:clientData/>
  </xdr:twoCellAnchor>
  <xdr:twoCellAnchor>
    <xdr:from>
      <xdr:col>4</xdr:col>
      <xdr:colOff>28575</xdr:colOff>
      <xdr:row>22</xdr:row>
      <xdr:rowOff>0</xdr:rowOff>
    </xdr:from>
    <xdr:to>
      <xdr:col>8</xdr:col>
      <xdr:colOff>9525</xdr:colOff>
      <xdr:row>24</xdr:row>
      <xdr:rowOff>180975</xdr:rowOff>
    </xdr:to>
    <xdr:sp>
      <xdr:nvSpPr>
        <xdr:cNvPr id="2" name="2 Rectángulo redondeado"/>
        <xdr:cNvSpPr>
          <a:spLocks/>
        </xdr:cNvSpPr>
      </xdr:nvSpPr>
      <xdr:spPr>
        <a:xfrm>
          <a:off x="3076575" y="4191000"/>
          <a:ext cx="3028950" cy="561975"/>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1100" b="0" i="0" u="none" baseline="0">
              <a:solidFill>
                <a:srgbClr val="FFFFFF"/>
              </a:solidFill>
              <a:latin typeface="Calibri"/>
              <a:ea typeface="Calibri"/>
              <a:cs typeface="Calibri"/>
            </a:rPr>
            <a:t>ELABORADO POR: Mg. ALEXANDER CORTES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47625</xdr:rowOff>
    </xdr:from>
    <xdr:to>
      <xdr:col>6</xdr:col>
      <xdr:colOff>638175</xdr:colOff>
      <xdr:row>5</xdr:row>
      <xdr:rowOff>38100</xdr:rowOff>
    </xdr:to>
    <xdr:sp>
      <xdr:nvSpPr>
        <xdr:cNvPr id="1" name="Line 1"/>
        <xdr:cNvSpPr>
          <a:spLocks/>
        </xdr:cNvSpPr>
      </xdr:nvSpPr>
      <xdr:spPr>
        <a:xfrm flipH="1">
          <a:off x="2000250" y="676275"/>
          <a:ext cx="3209925" cy="400050"/>
        </a:xfrm>
        <a:prstGeom prst="line">
          <a:avLst/>
        </a:prstGeom>
        <a:noFill/>
        <a:ln w="15875" cmpd="sng">
          <a:solidFill>
            <a:srgbClr val="00CCF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66675</xdr:colOff>
      <xdr:row>3</xdr:row>
      <xdr:rowOff>57150</xdr:rowOff>
    </xdr:from>
    <xdr:to>
      <xdr:col>11</xdr:col>
      <xdr:colOff>9525</xdr:colOff>
      <xdr:row>5</xdr:row>
      <xdr:rowOff>19050</xdr:rowOff>
    </xdr:to>
    <xdr:sp>
      <xdr:nvSpPr>
        <xdr:cNvPr id="2" name="Line 2"/>
        <xdr:cNvSpPr>
          <a:spLocks/>
        </xdr:cNvSpPr>
      </xdr:nvSpPr>
      <xdr:spPr>
        <a:xfrm>
          <a:off x="5400675" y="685800"/>
          <a:ext cx="2990850" cy="371475"/>
        </a:xfrm>
        <a:prstGeom prst="line">
          <a:avLst/>
        </a:prstGeom>
        <a:noFill/>
        <a:ln w="15875" cmpd="sng">
          <a:solidFill>
            <a:srgbClr val="00CCF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762000</xdr:colOff>
      <xdr:row>3</xdr:row>
      <xdr:rowOff>38100</xdr:rowOff>
    </xdr:from>
    <xdr:to>
      <xdr:col>6</xdr:col>
      <xdr:colOff>762000</xdr:colOff>
      <xdr:row>5</xdr:row>
      <xdr:rowOff>133350</xdr:rowOff>
    </xdr:to>
    <xdr:sp>
      <xdr:nvSpPr>
        <xdr:cNvPr id="3" name="Line 3"/>
        <xdr:cNvSpPr>
          <a:spLocks/>
        </xdr:cNvSpPr>
      </xdr:nvSpPr>
      <xdr:spPr>
        <a:xfrm>
          <a:off x="5334000" y="666750"/>
          <a:ext cx="0" cy="504825"/>
        </a:xfrm>
        <a:prstGeom prst="line">
          <a:avLst/>
        </a:prstGeom>
        <a:noFill/>
        <a:ln w="15875" cmpd="sng">
          <a:solidFill>
            <a:srgbClr val="00CC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266700</xdr:colOff>
      <xdr:row>7</xdr:row>
      <xdr:rowOff>19050</xdr:rowOff>
    </xdr:from>
    <xdr:to>
      <xdr:col>2</xdr:col>
      <xdr:colOff>276225</xdr:colOff>
      <xdr:row>10</xdr:row>
      <xdr:rowOff>9525</xdr:rowOff>
    </xdr:to>
    <xdr:sp>
      <xdr:nvSpPr>
        <xdr:cNvPr id="4" name="4 Conector recto de flecha"/>
        <xdr:cNvSpPr>
          <a:spLocks/>
        </xdr:cNvSpPr>
      </xdr:nvSpPr>
      <xdr:spPr>
        <a:xfrm rot="16200000" flipH="1">
          <a:off x="1790700" y="1476375"/>
          <a:ext cx="9525" cy="590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514350</xdr:colOff>
      <xdr:row>7</xdr:row>
      <xdr:rowOff>0</xdr:rowOff>
    </xdr:from>
    <xdr:to>
      <xdr:col>9</xdr:col>
      <xdr:colOff>514350</xdr:colOff>
      <xdr:row>10</xdr:row>
      <xdr:rowOff>28575</xdr:rowOff>
    </xdr:to>
    <xdr:sp>
      <xdr:nvSpPr>
        <xdr:cNvPr id="5" name="5 Conector recto de flecha"/>
        <xdr:cNvSpPr>
          <a:spLocks/>
        </xdr:cNvSpPr>
      </xdr:nvSpPr>
      <xdr:spPr>
        <a:xfrm rot="5400000">
          <a:off x="7372350" y="1457325"/>
          <a:ext cx="0" cy="628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28575</xdr:colOff>
      <xdr:row>7</xdr:row>
      <xdr:rowOff>0</xdr:rowOff>
    </xdr:from>
    <xdr:to>
      <xdr:col>6</xdr:col>
      <xdr:colOff>38100</xdr:colOff>
      <xdr:row>10</xdr:row>
      <xdr:rowOff>9525</xdr:rowOff>
    </xdr:to>
    <xdr:sp>
      <xdr:nvSpPr>
        <xdr:cNvPr id="6" name="6 Conector recto de flecha"/>
        <xdr:cNvSpPr>
          <a:spLocks/>
        </xdr:cNvSpPr>
      </xdr:nvSpPr>
      <xdr:spPr>
        <a:xfrm rot="5400000">
          <a:off x="4600575" y="1457325"/>
          <a:ext cx="9525"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352425</xdr:colOff>
      <xdr:row>18</xdr:row>
      <xdr:rowOff>180975</xdr:rowOff>
    </xdr:from>
    <xdr:to>
      <xdr:col>12</xdr:col>
      <xdr:colOff>85725</xdr:colOff>
      <xdr:row>22</xdr:row>
      <xdr:rowOff>66675</xdr:rowOff>
    </xdr:to>
    <xdr:sp>
      <xdr:nvSpPr>
        <xdr:cNvPr id="7" name="7 Rectángulo redondeado">
          <a:hlinkClick r:id="rId1"/>
        </xdr:cNvPr>
        <xdr:cNvSpPr>
          <a:spLocks/>
        </xdr:cNvSpPr>
      </xdr:nvSpPr>
      <xdr:spPr>
        <a:xfrm>
          <a:off x="1114425" y="3819525"/>
          <a:ext cx="8115300" cy="6477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IMPORTANTE:  PRIMERO</a:t>
          </a:r>
          <a:r>
            <a:rPr lang="en-US" cap="none" sz="1400" b="0" i="0" u="none" baseline="0">
              <a:solidFill>
                <a:srgbClr val="FFFFFF"/>
              </a:solidFill>
              <a:latin typeface="Calibri"/>
              <a:ea typeface="Calibri"/>
              <a:cs typeface="Calibri"/>
            </a:rPr>
            <a:t>  DAR CLICK AQUI PARA INGRERSAR LOS DATOS, LUEGO SI REVISAR</a:t>
          </a:r>
          <a:r>
            <a:rPr lang="en-US" cap="none" sz="1000" b="0" i="0" u="none" baseline="0">
              <a:solidFill>
                <a:srgbClr val="FFFFFF"/>
              </a:solidFill>
              <a:latin typeface="Calibri"/>
              <a:ea typeface="Calibri"/>
              <a:cs typeface="Calibri"/>
            </a:rPr>
            <a:t> </a:t>
          </a:r>
          <a:r>
            <a:rPr lang="en-US" cap="none" sz="1400" b="0" i="0" u="none" baseline="0">
              <a:solidFill>
                <a:srgbClr val="FFFFFF"/>
              </a:solidFill>
              <a:latin typeface="Calibri"/>
              <a:ea typeface="Calibri"/>
              <a:cs typeface="Calibri"/>
            </a:rPr>
            <a:t>CADA UNO DE LOS PRESUPUESTOS</a:t>
          </a:r>
          <a:r>
            <a:rPr lang="en-US" cap="none" sz="1050" b="0" i="0" u="none" baseline="0">
              <a:solidFill>
                <a:srgbClr val="FFFFFF"/>
              </a:solidFill>
              <a:latin typeface="Calibri"/>
              <a:ea typeface="Calibri"/>
              <a:cs typeface="Calibri"/>
            </a:rPr>
            <a:t>.</a:t>
          </a:r>
        </a:p>
      </xdr:txBody>
    </xdr:sp>
    <xdr:clientData/>
  </xdr:twoCellAnchor>
  <xdr:twoCellAnchor>
    <xdr:from>
      <xdr:col>12</xdr:col>
      <xdr:colOff>609600</xdr:colOff>
      <xdr:row>3</xdr:row>
      <xdr:rowOff>76200</xdr:rowOff>
    </xdr:from>
    <xdr:to>
      <xdr:col>16</xdr:col>
      <xdr:colOff>114300</xdr:colOff>
      <xdr:row>7</xdr:row>
      <xdr:rowOff>9525</xdr:rowOff>
    </xdr:to>
    <xdr:sp>
      <xdr:nvSpPr>
        <xdr:cNvPr id="8" name="8 Rectángulo redondeado"/>
        <xdr:cNvSpPr>
          <a:spLocks/>
        </xdr:cNvSpPr>
      </xdr:nvSpPr>
      <xdr:spPr>
        <a:xfrm>
          <a:off x="9753600" y="704850"/>
          <a:ext cx="2552700" cy="7620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Elaborado por: Mg. Alexander Cortes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1695450</xdr:colOff>
      <xdr:row>1</xdr:row>
      <xdr:rowOff>171450</xdr:rowOff>
    </xdr:from>
    <xdr:to>
      <xdr:col>1</xdr:col>
      <xdr:colOff>4038600</xdr:colOff>
      <xdr:row>1</xdr:row>
      <xdr:rowOff>1200150</xdr:rowOff>
    </xdr:to>
    <xdr:sp>
      <xdr:nvSpPr>
        <xdr:cNvPr id="1" name="Flecha: hacia abajo 1"/>
        <xdr:cNvSpPr>
          <a:spLocks/>
        </xdr:cNvSpPr>
      </xdr:nvSpPr>
      <xdr:spPr>
        <a:xfrm>
          <a:off x="1809750" y="876300"/>
          <a:ext cx="2343150" cy="102870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3600" b="0" i="0" u="none" baseline="0">
              <a:solidFill>
                <a:srgbClr val="FFFFFF"/>
              </a:solidFill>
              <a:latin typeface="Calibri"/>
              <a:ea typeface="Calibri"/>
              <a:cs typeface="Calibri"/>
            </a:rPr>
            <a:t>1</a:t>
          </a:r>
        </a:p>
      </xdr:txBody>
    </xdr:sp>
    <xdr:clientData/>
  </xdr:twoCellAnchor>
  <xdr:twoCellAnchor>
    <xdr:from>
      <xdr:col>20</xdr:col>
      <xdr:colOff>419100</xdr:colOff>
      <xdr:row>1</xdr:row>
      <xdr:rowOff>190500</xdr:rowOff>
    </xdr:from>
    <xdr:to>
      <xdr:col>22</xdr:col>
      <xdr:colOff>533400</xdr:colOff>
      <xdr:row>1</xdr:row>
      <xdr:rowOff>1219200</xdr:rowOff>
    </xdr:to>
    <xdr:sp>
      <xdr:nvSpPr>
        <xdr:cNvPr id="2" name="Flecha: hacia abajo 3"/>
        <xdr:cNvSpPr>
          <a:spLocks/>
        </xdr:cNvSpPr>
      </xdr:nvSpPr>
      <xdr:spPr>
        <a:xfrm>
          <a:off x="31565850" y="895350"/>
          <a:ext cx="3219450" cy="102870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3600" b="0" i="0" u="none" baseline="0">
              <a:solidFill>
                <a:srgbClr val="FFFFFF"/>
              </a:solidFill>
              <a:latin typeface="Calibri"/>
              <a:ea typeface="Calibri"/>
              <a:cs typeface="Calibri"/>
            </a:rPr>
            <a:t>6</a:t>
          </a:r>
        </a:p>
      </xdr:txBody>
    </xdr:sp>
    <xdr:clientData/>
  </xdr:twoCellAnchor>
  <xdr:twoCellAnchor>
    <xdr:from>
      <xdr:col>17</xdr:col>
      <xdr:colOff>0</xdr:colOff>
      <xdr:row>1</xdr:row>
      <xdr:rowOff>133350</xdr:rowOff>
    </xdr:from>
    <xdr:to>
      <xdr:col>18</xdr:col>
      <xdr:colOff>266700</xdr:colOff>
      <xdr:row>1</xdr:row>
      <xdr:rowOff>1162050</xdr:rowOff>
    </xdr:to>
    <xdr:sp>
      <xdr:nvSpPr>
        <xdr:cNvPr id="3" name="Flecha: hacia abajo 4"/>
        <xdr:cNvSpPr>
          <a:spLocks/>
        </xdr:cNvSpPr>
      </xdr:nvSpPr>
      <xdr:spPr>
        <a:xfrm>
          <a:off x="26860500" y="838200"/>
          <a:ext cx="2619375" cy="102870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3600" b="0" i="0" u="none" baseline="0">
              <a:solidFill>
                <a:srgbClr val="FFFFFF"/>
              </a:solidFill>
              <a:latin typeface="Calibri"/>
              <a:ea typeface="Calibri"/>
              <a:cs typeface="Calibri"/>
            </a:rPr>
            <a:t>5</a:t>
          </a:r>
        </a:p>
      </xdr:txBody>
    </xdr:sp>
    <xdr:clientData/>
  </xdr:twoCellAnchor>
  <xdr:twoCellAnchor>
    <xdr:from>
      <xdr:col>12</xdr:col>
      <xdr:colOff>1066800</xdr:colOff>
      <xdr:row>1</xdr:row>
      <xdr:rowOff>133350</xdr:rowOff>
    </xdr:from>
    <xdr:to>
      <xdr:col>14</xdr:col>
      <xdr:colOff>381000</xdr:colOff>
      <xdr:row>1</xdr:row>
      <xdr:rowOff>1162050</xdr:rowOff>
    </xdr:to>
    <xdr:sp>
      <xdr:nvSpPr>
        <xdr:cNvPr id="4" name="Flecha: hacia abajo 5"/>
        <xdr:cNvSpPr>
          <a:spLocks/>
        </xdr:cNvSpPr>
      </xdr:nvSpPr>
      <xdr:spPr>
        <a:xfrm>
          <a:off x="20583525" y="838200"/>
          <a:ext cx="2914650" cy="102870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3600" b="0" i="0" u="none" baseline="0">
              <a:solidFill>
                <a:srgbClr val="FFFFFF"/>
              </a:solidFill>
              <a:latin typeface="Calibri"/>
              <a:ea typeface="Calibri"/>
              <a:cs typeface="Calibri"/>
            </a:rPr>
            <a:t>4</a:t>
          </a:r>
        </a:p>
      </xdr:txBody>
    </xdr:sp>
    <xdr:clientData/>
  </xdr:twoCellAnchor>
  <xdr:twoCellAnchor>
    <xdr:from>
      <xdr:col>9</xdr:col>
      <xdr:colOff>0</xdr:colOff>
      <xdr:row>1</xdr:row>
      <xdr:rowOff>133350</xdr:rowOff>
    </xdr:from>
    <xdr:to>
      <xdr:col>9</xdr:col>
      <xdr:colOff>2343150</xdr:colOff>
      <xdr:row>1</xdr:row>
      <xdr:rowOff>1162050</xdr:rowOff>
    </xdr:to>
    <xdr:sp>
      <xdr:nvSpPr>
        <xdr:cNvPr id="5" name="Flecha: hacia abajo 6"/>
        <xdr:cNvSpPr>
          <a:spLocks/>
        </xdr:cNvSpPr>
      </xdr:nvSpPr>
      <xdr:spPr>
        <a:xfrm>
          <a:off x="14725650" y="838200"/>
          <a:ext cx="2343150" cy="102870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3600" b="0" i="0" u="none" baseline="0">
              <a:solidFill>
                <a:srgbClr val="FFFFFF"/>
              </a:solidFill>
              <a:latin typeface="Calibri"/>
              <a:ea typeface="Calibri"/>
              <a:cs typeface="Calibri"/>
            </a:rPr>
            <a:t>3</a:t>
          </a:r>
        </a:p>
      </xdr:txBody>
    </xdr:sp>
    <xdr:clientData/>
  </xdr:twoCellAnchor>
  <xdr:twoCellAnchor>
    <xdr:from>
      <xdr:col>4</xdr:col>
      <xdr:colOff>1314450</xdr:colOff>
      <xdr:row>1</xdr:row>
      <xdr:rowOff>171450</xdr:rowOff>
    </xdr:from>
    <xdr:to>
      <xdr:col>5</xdr:col>
      <xdr:colOff>514350</xdr:colOff>
      <xdr:row>1</xdr:row>
      <xdr:rowOff>1200150</xdr:rowOff>
    </xdr:to>
    <xdr:sp>
      <xdr:nvSpPr>
        <xdr:cNvPr id="6" name="Flecha: hacia abajo 7"/>
        <xdr:cNvSpPr>
          <a:spLocks/>
        </xdr:cNvSpPr>
      </xdr:nvSpPr>
      <xdr:spPr>
        <a:xfrm>
          <a:off x="8029575" y="876300"/>
          <a:ext cx="3581400" cy="102870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3600" b="0" i="0" u="none" baseline="0">
              <a:solidFill>
                <a:srgbClr val="FFFFFF"/>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171450</xdr:rowOff>
    </xdr:from>
    <xdr:to>
      <xdr:col>5</xdr:col>
      <xdr:colOff>1095375</xdr:colOff>
      <xdr:row>37</xdr:row>
      <xdr:rowOff>66675</xdr:rowOff>
    </xdr:to>
    <xdr:graphicFrame>
      <xdr:nvGraphicFramePr>
        <xdr:cNvPr id="1" name="Gráfico 2"/>
        <xdr:cNvGraphicFramePr/>
      </xdr:nvGraphicFramePr>
      <xdr:xfrm>
        <a:off x="66675" y="4629150"/>
        <a:ext cx="7086600" cy="2581275"/>
      </xdr:xfrm>
      <a:graphic>
        <a:graphicData uri="http://schemas.openxmlformats.org/drawingml/2006/chart">
          <c:chart xmlns:c="http://schemas.openxmlformats.org/drawingml/2006/chart" r:id="rId1"/>
        </a:graphicData>
      </a:graphic>
    </xdr:graphicFrame>
    <xdr:clientData/>
  </xdr:twoCellAnchor>
  <xdr:twoCellAnchor>
    <xdr:from>
      <xdr:col>10</xdr:col>
      <xdr:colOff>428625</xdr:colOff>
      <xdr:row>23</xdr:row>
      <xdr:rowOff>161925</xdr:rowOff>
    </xdr:from>
    <xdr:to>
      <xdr:col>15</xdr:col>
      <xdr:colOff>0</xdr:colOff>
      <xdr:row>36</xdr:row>
      <xdr:rowOff>171450</xdr:rowOff>
    </xdr:to>
    <xdr:graphicFrame>
      <xdr:nvGraphicFramePr>
        <xdr:cNvPr id="2" name="Gráfico 3"/>
        <xdr:cNvGraphicFramePr/>
      </xdr:nvGraphicFramePr>
      <xdr:xfrm>
        <a:off x="11839575" y="4619625"/>
        <a:ext cx="6667500" cy="2505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5">
      <selection activeCell="G26" sqref="G26"/>
    </sheetView>
  </sheetViews>
  <sheetFormatPr defaultColWidth="11.421875" defaultRowHeight="15"/>
  <sheetData/>
  <sheetProtection password="CF7A" sheet="1"/>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FFC000"/>
  </sheetPr>
  <dimension ref="B2:R56"/>
  <sheetViews>
    <sheetView zoomScale="80" zoomScaleNormal="80" zoomScalePageLayoutView="0" workbookViewId="0" topLeftCell="B1">
      <selection activeCell="C4" sqref="C4:C11"/>
    </sheetView>
  </sheetViews>
  <sheetFormatPr defaultColWidth="11.421875" defaultRowHeight="15"/>
  <cols>
    <col min="1" max="1" width="1.7109375" style="12" customWidth="1"/>
    <col min="2" max="2" width="55.00390625" style="12" bestFit="1" customWidth="1"/>
    <col min="3" max="3" width="27.140625" style="12" customWidth="1"/>
    <col min="4" max="4" width="3.00390625" style="12" customWidth="1"/>
    <col min="5" max="5" width="11.421875" style="12" customWidth="1"/>
    <col min="6" max="6" width="16.7109375" style="12" bestFit="1" customWidth="1"/>
    <col min="7" max="7" width="13.8515625" style="12" customWidth="1"/>
    <col min="8" max="8" width="12.8515625" style="12" customWidth="1"/>
    <col min="9" max="9" width="15.00390625" style="12" bestFit="1" customWidth="1"/>
    <col min="10" max="10" width="11.421875" style="12" customWidth="1"/>
    <col min="11" max="11" width="5.140625" style="12" customWidth="1"/>
    <col min="12" max="13" width="15.8515625" style="12" customWidth="1"/>
    <col min="14" max="14" width="17.8515625" style="12" bestFit="1" customWidth="1"/>
    <col min="15" max="16384" width="11.421875" style="12" customWidth="1"/>
  </cols>
  <sheetData>
    <row r="1" ht="8.25" customHeight="1" thickBot="1"/>
    <row r="2" spans="2:10" ht="14.25" customHeight="1" thickBot="1">
      <c r="B2" s="651" t="s">
        <v>198</v>
      </c>
      <c r="C2" s="652"/>
      <c r="E2" s="648" t="s">
        <v>73</v>
      </c>
      <c r="F2" s="649"/>
      <c r="G2" s="649"/>
      <c r="H2" s="649"/>
      <c r="I2" s="649"/>
      <c r="J2" s="650"/>
    </row>
    <row r="3" spans="2:10" ht="14.25" customHeight="1" thickBot="1">
      <c r="B3" s="440" t="s">
        <v>74</v>
      </c>
      <c r="C3" s="441" t="s">
        <v>75</v>
      </c>
      <c r="E3" s="265" t="s">
        <v>76</v>
      </c>
      <c r="F3" s="266" t="s">
        <v>77</v>
      </c>
      <c r="G3" s="273" t="s">
        <v>78</v>
      </c>
      <c r="H3" s="273" t="s">
        <v>79</v>
      </c>
      <c r="I3" s="273" t="s">
        <v>80</v>
      </c>
      <c r="J3" s="274" t="s">
        <v>33</v>
      </c>
    </row>
    <row r="4" spans="2:10" ht="24.75" customHeight="1">
      <c r="B4" s="442" t="s">
        <v>357</v>
      </c>
      <c r="C4" s="443">
        <f>+DATOS!K74</f>
        <v>69844858.5993</v>
      </c>
      <c r="E4" s="267">
        <v>0</v>
      </c>
      <c r="F4" s="268">
        <f>+DATOS!N89</f>
        <v>749267805.8741804</v>
      </c>
      <c r="G4" s="269">
        <v>0</v>
      </c>
      <c r="H4" s="269">
        <v>0</v>
      </c>
      <c r="I4" s="269">
        <v>0</v>
      </c>
      <c r="J4" s="207">
        <v>0</v>
      </c>
    </row>
    <row r="5" spans="2:12" ht="14.25" customHeight="1">
      <c r="B5" s="444" t="s">
        <v>359</v>
      </c>
      <c r="C5" s="443">
        <f>+DATOS!O74</f>
        <v>8016300</v>
      </c>
      <c r="E5" s="270">
        <v>1</v>
      </c>
      <c r="F5" s="271">
        <f>+F4-I5</f>
        <v>725634239.0654442</v>
      </c>
      <c r="G5" s="272">
        <f>IPMT(J5,E5,24,$F$4,,0)*(-1)</f>
        <v>17507891.063926682</v>
      </c>
      <c r="H5" s="272">
        <f aca="true" t="shared" si="0" ref="H5:H28">+G5+I5</f>
        <v>41141457.87266286</v>
      </c>
      <c r="I5" s="272">
        <f>PPMT(J5,E5,24,$F$4,,0)*(-1)</f>
        <v>23633566.80873617</v>
      </c>
      <c r="J5" s="101">
        <f>DATOS!$N$91/12</f>
        <v>0.023366666666666664</v>
      </c>
      <c r="L5" s="35"/>
    </row>
    <row r="6" spans="2:14" ht="14.25" customHeight="1">
      <c r="B6" s="444" t="s">
        <v>358</v>
      </c>
      <c r="C6" s="443">
        <f>+DATOS!S74</f>
        <v>55000000</v>
      </c>
      <c r="E6" s="270">
        <v>2</v>
      </c>
      <c r="F6" s="271">
        <f aca="true" t="shared" si="1" ref="F6:F28">+F5-I6</f>
        <v>701448434.578944</v>
      </c>
      <c r="G6" s="272">
        <f aca="true" t="shared" si="2" ref="G6:G28">IPMT(J6,E6,24,$F$4,,0)*(-1)</f>
        <v>16955653.386162546</v>
      </c>
      <c r="H6" s="272">
        <f t="shared" si="0"/>
        <v>41141457.87266286</v>
      </c>
      <c r="I6" s="272">
        <f aca="true" t="shared" si="3" ref="I6:I28">PPMT(J6,E6,24,$F$4,,0)*(-1)</f>
        <v>24185804.486500308</v>
      </c>
      <c r="J6" s="101">
        <f>DATOS!$N$91/12</f>
        <v>0.023366666666666664</v>
      </c>
      <c r="N6" s="95"/>
    </row>
    <row r="7" spans="2:10" ht="14.25" customHeight="1">
      <c r="B7" s="444" t="s">
        <v>360</v>
      </c>
      <c r="C7" s="443">
        <f>+DATOS!W74</f>
        <v>26796749</v>
      </c>
      <c r="E7" s="270">
        <v>3</v>
      </c>
      <c r="F7" s="271">
        <f t="shared" si="1"/>
        <v>676697488.4609424</v>
      </c>
      <c r="G7" s="272">
        <f t="shared" si="2"/>
        <v>16390511.754661322</v>
      </c>
      <c r="H7" s="272">
        <f t="shared" si="0"/>
        <v>41141457.87266285</v>
      </c>
      <c r="I7" s="272">
        <f t="shared" si="3"/>
        <v>24750946.118001528</v>
      </c>
      <c r="J7" s="101">
        <f>DATOS!$N$91/12</f>
        <v>0.023366666666666664</v>
      </c>
    </row>
    <row r="8" spans="2:10" ht="14.25" customHeight="1">
      <c r="B8" s="444" t="s">
        <v>361</v>
      </c>
      <c r="C8" s="443">
        <f>DATOS!R82</f>
        <v>2882000</v>
      </c>
      <c r="E8" s="270">
        <v>4</v>
      </c>
      <c r="F8" s="271">
        <f t="shared" si="1"/>
        <v>651368195.2353169</v>
      </c>
      <c r="G8" s="272">
        <f t="shared" si="2"/>
        <v>15812164.647037355</v>
      </c>
      <c r="H8" s="272">
        <f t="shared" si="0"/>
        <v>41141457.87266285</v>
      </c>
      <c r="I8" s="272">
        <f t="shared" si="3"/>
        <v>25329293.225625496</v>
      </c>
      <c r="J8" s="101">
        <f>DATOS!$N$91/12</f>
        <v>0.023366666666666664</v>
      </c>
    </row>
    <row r="9" spans="2:10" ht="14.25" customHeight="1">
      <c r="B9" s="444" t="s">
        <v>362</v>
      </c>
      <c r="C9" s="443">
        <f>DATOS!O12+DATOS!O4</f>
        <v>63000000</v>
      </c>
      <c r="E9" s="270">
        <v>5</v>
      </c>
      <c r="F9" s="271">
        <f t="shared" si="1"/>
        <v>625447040.857986</v>
      </c>
      <c r="G9" s="272">
        <f t="shared" si="2"/>
        <v>15220303.495331906</v>
      </c>
      <c r="H9" s="272">
        <f t="shared" si="0"/>
        <v>41141457.87266286</v>
      </c>
      <c r="I9" s="272">
        <f t="shared" si="3"/>
        <v>25921154.377330948</v>
      </c>
      <c r="J9" s="101">
        <f>DATOS!$N$91/12</f>
        <v>0.023366666666666664</v>
      </c>
    </row>
    <row r="10" spans="2:10" ht="30" customHeight="1" thickBot="1">
      <c r="B10" s="445" t="s">
        <v>356</v>
      </c>
      <c r="C10" s="443">
        <f>+'PRESUPUESTROS DE COMPRA'!E13+(('PRESUPESTOS MOD'!D7/12)*3)</f>
        <v>623727898.2748804</v>
      </c>
      <c r="E10" s="256">
        <v>6</v>
      </c>
      <c r="F10" s="271">
        <f t="shared" si="1"/>
        <v>598920195.5067047</v>
      </c>
      <c r="G10" s="272">
        <f t="shared" si="2"/>
        <v>14614612.521381607</v>
      </c>
      <c r="H10" s="272">
        <f t="shared" si="0"/>
        <v>41141457.87266286</v>
      </c>
      <c r="I10" s="272">
        <f t="shared" si="3"/>
        <v>26526845.351281248</v>
      </c>
      <c r="J10" s="101">
        <f>DATOS!$N$91/12</f>
        <v>0.023366666666666664</v>
      </c>
    </row>
    <row r="11" spans="2:10" ht="14.25" customHeight="1" thickBot="1">
      <c r="B11" s="440" t="s">
        <v>2</v>
      </c>
      <c r="C11" s="446">
        <f>SUM(C4:C10)</f>
        <v>849267805.8741804</v>
      </c>
      <c r="E11" s="256">
        <v>7</v>
      </c>
      <c r="F11" s="271">
        <f t="shared" si="1"/>
        <v>571773506.2023818</v>
      </c>
      <c r="G11" s="272">
        <f t="shared" si="2"/>
        <v>13994768.568340002</v>
      </c>
      <c r="H11" s="272">
        <f t="shared" si="0"/>
        <v>41141457.87266285</v>
      </c>
      <c r="I11" s="272">
        <f t="shared" si="3"/>
        <v>27146689.30432285</v>
      </c>
      <c r="J11" s="101">
        <f>DATOS!$N$91/12</f>
        <v>0.023366666666666664</v>
      </c>
    </row>
    <row r="12" spans="5:10" ht="14.25" customHeight="1">
      <c r="E12" s="256">
        <v>8</v>
      </c>
      <c r="F12" s="271">
        <f t="shared" si="1"/>
        <v>543992489.2579813</v>
      </c>
      <c r="G12" s="272">
        <f t="shared" si="2"/>
        <v>13360440.928262323</v>
      </c>
      <c r="H12" s="272">
        <f t="shared" si="0"/>
        <v>41141457.87266286</v>
      </c>
      <c r="I12" s="272">
        <f t="shared" si="3"/>
        <v>27781016.94440053</v>
      </c>
      <c r="J12" s="101">
        <f>DATOS!$N$91/12</f>
        <v>0.023366666666666664</v>
      </c>
    </row>
    <row r="13" spans="5:10" ht="14.25" customHeight="1">
      <c r="E13" s="256">
        <v>9</v>
      </c>
      <c r="F13" s="271">
        <f t="shared" si="1"/>
        <v>515562322.55098</v>
      </c>
      <c r="G13" s="272">
        <f t="shared" si="2"/>
        <v>12711291.165661497</v>
      </c>
      <c r="H13" s="272">
        <f t="shared" si="0"/>
        <v>41141457.87266286</v>
      </c>
      <c r="I13" s="272">
        <f t="shared" si="3"/>
        <v>28430166.70700136</v>
      </c>
      <c r="J13" s="101">
        <f>DATOS!$N$91/12</f>
        <v>0.023366666666666664</v>
      </c>
    </row>
    <row r="14" spans="5:10" ht="14.25" customHeight="1">
      <c r="E14" s="256">
        <v>10</v>
      </c>
      <c r="F14" s="271">
        <f t="shared" si="1"/>
        <v>486467837.61525834</v>
      </c>
      <c r="G14" s="272">
        <f t="shared" si="2"/>
        <v>12046972.936941233</v>
      </c>
      <c r="H14" s="272">
        <f t="shared" si="0"/>
        <v>41141457.87266286</v>
      </c>
      <c r="I14" s="272">
        <f t="shared" si="3"/>
        <v>29094484.935721625</v>
      </c>
      <c r="J14" s="101">
        <f>DATOS!$N$91/12</f>
        <v>0.023366666666666664</v>
      </c>
    </row>
    <row r="15" spans="2:10" ht="14.25" customHeight="1">
      <c r="B15" s="291"/>
      <c r="C15" s="291"/>
      <c r="E15" s="256">
        <v>11</v>
      </c>
      <c r="F15" s="271">
        <f t="shared" si="1"/>
        <v>456693511.5482054</v>
      </c>
      <c r="G15" s="272">
        <f t="shared" si="2"/>
        <v>11367131.80560987</v>
      </c>
      <c r="H15" s="272">
        <f t="shared" si="0"/>
        <v>41141457.87266285</v>
      </c>
      <c r="I15" s="272">
        <f t="shared" si="3"/>
        <v>29774326.06705298</v>
      </c>
      <c r="J15" s="101">
        <f>DATOS!$N$91/12</f>
        <v>0.023366666666666664</v>
      </c>
    </row>
    <row r="16" spans="2:14" ht="14.25" customHeight="1" thickBot="1">
      <c r="B16" s="291"/>
      <c r="C16" s="291"/>
      <c r="E16" s="253">
        <v>12</v>
      </c>
      <c r="F16" s="271">
        <f t="shared" si="1"/>
        <v>426223458.72871894</v>
      </c>
      <c r="G16" s="272">
        <f t="shared" si="2"/>
        <v>10671405.0531764</v>
      </c>
      <c r="H16" s="272">
        <f t="shared" si="0"/>
        <v>41141457.87266285</v>
      </c>
      <c r="I16" s="272">
        <f t="shared" si="3"/>
        <v>30470052.81948645</v>
      </c>
      <c r="J16" s="101">
        <f>DATOS!$N$91/12</f>
        <v>0.023366666666666664</v>
      </c>
      <c r="L16" s="67" t="s">
        <v>79</v>
      </c>
      <c r="M16" s="66" t="s">
        <v>80</v>
      </c>
      <c r="N16" s="65" t="s">
        <v>78</v>
      </c>
    </row>
    <row r="17" spans="2:18" ht="14.25" customHeight="1" thickBot="1">
      <c r="B17" s="291"/>
      <c r="C17" s="291"/>
      <c r="E17" s="257">
        <v>13</v>
      </c>
      <c r="F17" s="271">
        <f t="shared" si="1"/>
        <v>395041422.3416838</v>
      </c>
      <c r="G17" s="272">
        <f t="shared" si="2"/>
        <v>9959421.485627733</v>
      </c>
      <c r="H17" s="272">
        <f t="shared" si="0"/>
        <v>41141457.87266286</v>
      </c>
      <c r="I17" s="272">
        <f t="shared" si="3"/>
        <v>31182036.38703512</v>
      </c>
      <c r="J17" s="101">
        <f>DATOS!$N$91/12</f>
        <v>0.023366666666666664</v>
      </c>
      <c r="L17" s="260">
        <f>H17*12</f>
        <v>493697494.4719543</v>
      </c>
      <c r="M17" s="429">
        <f>SUM(I4:I16)</f>
        <v>323044347.1454615</v>
      </c>
      <c r="N17" s="47">
        <f>SUM(G5:G16)</f>
        <v>170653147.32649276</v>
      </c>
      <c r="R17" s="428"/>
    </row>
    <row r="18" spans="2:14" ht="14.25" customHeight="1">
      <c r="B18" s="291"/>
      <c r="C18" s="291"/>
      <c r="E18" s="257">
        <v>14</v>
      </c>
      <c r="F18" s="271">
        <f t="shared" si="1"/>
        <v>363130765.70440495</v>
      </c>
      <c r="G18" s="272">
        <f t="shared" si="2"/>
        <v>9230801.235384012</v>
      </c>
      <c r="H18" s="272">
        <f t="shared" si="0"/>
        <v>41141457.87266285</v>
      </c>
      <c r="I18" s="272">
        <f t="shared" si="3"/>
        <v>31910656.63727884</v>
      </c>
      <c r="J18" s="101">
        <f>DATOS!$N$91/12</f>
        <v>0.023366666666666664</v>
      </c>
      <c r="N18" s="45"/>
    </row>
    <row r="19" spans="2:14" ht="14.25" customHeight="1">
      <c r="B19" s="291"/>
      <c r="C19" s="291"/>
      <c r="E19" s="257">
        <v>15</v>
      </c>
      <c r="F19" s="271">
        <f t="shared" si="1"/>
        <v>330474463.39036834</v>
      </c>
      <c r="G19" s="272">
        <f t="shared" si="2"/>
        <v>8485155.558626266</v>
      </c>
      <c r="H19" s="272">
        <f t="shared" si="0"/>
        <v>41141457.87266286</v>
      </c>
      <c r="I19" s="272">
        <f t="shared" si="3"/>
        <v>32656302.31403659</v>
      </c>
      <c r="J19" s="101">
        <f>DATOS!$N$91/12</f>
        <v>0.023366666666666664</v>
      </c>
      <c r="N19" s="45"/>
    </row>
    <row r="20" spans="2:14" ht="14.25" customHeight="1">
      <c r="B20" s="291"/>
      <c r="C20" s="436"/>
      <c r="E20" s="257">
        <v>16</v>
      </c>
      <c r="F20" s="271">
        <f t="shared" si="1"/>
        <v>297055092.14559376</v>
      </c>
      <c r="G20" s="272">
        <f t="shared" si="2"/>
        <v>7722086.627888275</v>
      </c>
      <c r="H20" s="272">
        <f t="shared" si="0"/>
        <v>41141457.87266285</v>
      </c>
      <c r="I20" s="272">
        <f t="shared" si="3"/>
        <v>33419371.244774576</v>
      </c>
      <c r="J20" s="101">
        <f>DATOS!$N$91/12</f>
        <v>0.023366666666666664</v>
      </c>
      <c r="N20" s="45"/>
    </row>
    <row r="21" spans="2:14" ht="14.25" customHeight="1">
      <c r="B21" s="291"/>
      <c r="C21" s="291"/>
      <c r="E21" s="257">
        <v>17</v>
      </c>
      <c r="F21" s="271">
        <f t="shared" si="1"/>
        <v>262854821.59273297</v>
      </c>
      <c r="G21" s="272">
        <f t="shared" si="2"/>
        <v>6941187.319802043</v>
      </c>
      <c r="H21" s="272">
        <f t="shared" si="0"/>
        <v>41141457.87266286</v>
      </c>
      <c r="I21" s="272">
        <f t="shared" si="3"/>
        <v>34200270.55286081</v>
      </c>
      <c r="J21" s="101">
        <f>DATOS!$N$91/12</f>
        <v>0.023366666666666664</v>
      </c>
      <c r="N21" s="45"/>
    </row>
    <row r="22" spans="2:14" ht="14.25" customHeight="1">
      <c r="B22" s="291"/>
      <c r="C22" s="291"/>
      <c r="E22" s="257">
        <v>18</v>
      </c>
      <c r="F22" s="271">
        <f t="shared" si="1"/>
        <v>227855404.71795365</v>
      </c>
      <c r="G22" s="272">
        <f t="shared" si="2"/>
        <v>6142040.9978835285</v>
      </c>
      <c r="H22" s="272">
        <f t="shared" si="0"/>
        <v>41141457.87266285</v>
      </c>
      <c r="I22" s="272">
        <f t="shared" si="3"/>
        <v>34999416.87477932</v>
      </c>
      <c r="J22" s="101">
        <f>DATOS!$N$91/12</f>
        <v>0.023366666666666664</v>
      </c>
      <c r="N22" s="45"/>
    </row>
    <row r="23" spans="5:14" ht="14.25" customHeight="1">
      <c r="E23" s="257">
        <v>19</v>
      </c>
      <c r="F23" s="271">
        <f t="shared" si="1"/>
        <v>192038168.13553366</v>
      </c>
      <c r="G23" s="272">
        <f t="shared" si="2"/>
        <v>5324221.290242853</v>
      </c>
      <c r="H23" s="272">
        <f t="shared" si="0"/>
        <v>41141457.87266285</v>
      </c>
      <c r="I23" s="272">
        <f t="shared" si="3"/>
        <v>35817236.58242</v>
      </c>
      <c r="J23" s="101">
        <f>DATOS!$N$91/12</f>
        <v>0.023366666666666664</v>
      </c>
      <c r="N23" s="45"/>
    </row>
    <row r="24" spans="5:14" ht="14.25" customHeight="1">
      <c r="E24" s="257">
        <v>20</v>
      </c>
      <c r="F24" s="271">
        <f t="shared" si="1"/>
        <v>155384002.1249711</v>
      </c>
      <c r="G24" s="272">
        <f t="shared" si="2"/>
        <v>4487291.862100305</v>
      </c>
      <c r="H24" s="272">
        <f t="shared" si="0"/>
        <v>41141457.87266286</v>
      </c>
      <c r="I24" s="272">
        <f t="shared" si="3"/>
        <v>36654166.010562554</v>
      </c>
      <c r="J24" s="101">
        <f>DATOS!$N$91/12</f>
        <v>0.023366666666666664</v>
      </c>
      <c r="N24" s="45"/>
    </row>
    <row r="25" spans="5:14" ht="14.25" customHeight="1">
      <c r="E25" s="257">
        <v>21</v>
      </c>
      <c r="F25" s="271">
        <f t="shared" si="1"/>
        <v>117873350.43529508</v>
      </c>
      <c r="G25" s="272">
        <f t="shared" si="2"/>
        <v>3630806.182986827</v>
      </c>
      <c r="H25" s="272">
        <f t="shared" si="0"/>
        <v>41141457.87266285</v>
      </c>
      <c r="I25" s="272">
        <f t="shared" si="3"/>
        <v>37510651.689676024</v>
      </c>
      <c r="J25" s="101">
        <f>DATOS!$N$91/12</f>
        <v>0.023366666666666664</v>
      </c>
      <c r="N25" s="45"/>
    </row>
    <row r="26" spans="5:14" ht="14.25" customHeight="1">
      <c r="E26" s="257">
        <v>22</v>
      </c>
      <c r="F26" s="271">
        <f t="shared" si="1"/>
        <v>79486199.85113695</v>
      </c>
      <c r="G26" s="272">
        <f t="shared" si="2"/>
        <v>2754307.288504731</v>
      </c>
      <c r="H26" s="272">
        <f t="shared" si="0"/>
        <v>41141457.87266284</v>
      </c>
      <c r="I26" s="272">
        <f t="shared" si="3"/>
        <v>38387150.584158115</v>
      </c>
      <c r="J26" s="101">
        <f>DATOS!$N$91/12</f>
        <v>0.023366666666666664</v>
      </c>
      <c r="N26" s="45"/>
    </row>
    <row r="27" spans="5:14" ht="14.25" customHeight="1">
      <c r="E27" s="257">
        <v>23</v>
      </c>
      <c r="F27" s="271">
        <f t="shared" si="1"/>
        <v>40202069.514995664</v>
      </c>
      <c r="G27" s="272">
        <f t="shared" si="2"/>
        <v>1857327.5365215694</v>
      </c>
      <c r="H27" s="272">
        <f t="shared" si="0"/>
        <v>41141457.87266286</v>
      </c>
      <c r="I27" s="272">
        <f t="shared" si="3"/>
        <v>39284130.33614129</v>
      </c>
      <c r="J27" s="101">
        <f>DATOS!$N$91/12</f>
        <v>0.023366666666666664</v>
      </c>
      <c r="N27" s="45"/>
    </row>
    <row r="28" spans="5:14" ht="14.25" customHeight="1" thickBot="1">
      <c r="E28" s="254">
        <v>24</v>
      </c>
      <c r="F28" s="271">
        <f t="shared" si="1"/>
        <v>-1.1920928955078125E-07</v>
      </c>
      <c r="G28" s="272">
        <f t="shared" si="2"/>
        <v>939388.357667068</v>
      </c>
      <c r="H28" s="272">
        <f t="shared" si="0"/>
        <v>41141457.87266285</v>
      </c>
      <c r="I28" s="272">
        <f t="shared" si="3"/>
        <v>40202069.51499578</v>
      </c>
      <c r="J28" s="101">
        <f>DATOS!$N$91/12</f>
        <v>0.023366666666666664</v>
      </c>
      <c r="L28" s="67" t="s">
        <v>79</v>
      </c>
      <c r="M28" s="96" t="s">
        <v>80</v>
      </c>
      <c r="N28" s="65" t="s">
        <v>78</v>
      </c>
    </row>
    <row r="29" spans="5:14" ht="14.25" customHeight="1" thickBot="1">
      <c r="E29" s="256">
        <v>25</v>
      </c>
      <c r="F29" s="69"/>
      <c r="G29" s="72"/>
      <c r="H29" s="72"/>
      <c r="I29" s="72"/>
      <c r="J29" s="46"/>
      <c r="L29" s="260">
        <f>H28*12</f>
        <v>493697494.4719542</v>
      </c>
      <c r="M29" s="429">
        <f>SUM(I17:I28)</f>
        <v>426223458.728719</v>
      </c>
      <c r="N29" s="47">
        <f>SUM(G17:G28)</f>
        <v>67474035.74323522</v>
      </c>
    </row>
    <row r="30" spans="5:14" ht="14.25" customHeight="1">
      <c r="E30" s="256">
        <v>26</v>
      </c>
      <c r="F30" s="69"/>
      <c r="G30" s="72"/>
      <c r="H30" s="72"/>
      <c r="I30" s="72"/>
      <c r="J30" s="46"/>
      <c r="N30" s="45"/>
    </row>
    <row r="31" spans="5:14" ht="14.25" customHeight="1">
      <c r="E31" s="256">
        <v>27</v>
      </c>
      <c r="F31" s="69"/>
      <c r="G31" s="72"/>
      <c r="H31" s="72"/>
      <c r="I31" s="72"/>
      <c r="J31" s="46"/>
      <c r="N31" s="45"/>
    </row>
    <row r="32" spans="5:14" ht="14.25" customHeight="1">
      <c r="E32" s="256">
        <v>28</v>
      </c>
      <c r="F32" s="69"/>
      <c r="G32" s="72"/>
      <c r="H32" s="72"/>
      <c r="I32" s="72"/>
      <c r="J32" s="46"/>
      <c r="N32" s="45"/>
    </row>
    <row r="33" spans="5:14" ht="14.25" customHeight="1">
      <c r="E33" s="256">
        <v>29</v>
      </c>
      <c r="F33" s="69"/>
      <c r="G33" s="72"/>
      <c r="H33" s="72"/>
      <c r="I33" s="72"/>
      <c r="J33" s="46"/>
      <c r="N33" s="45"/>
    </row>
    <row r="34" spans="5:14" ht="14.25" customHeight="1">
      <c r="E34" s="256">
        <v>30</v>
      </c>
      <c r="F34" s="69"/>
      <c r="G34" s="72"/>
      <c r="H34" s="72"/>
      <c r="I34" s="72"/>
      <c r="J34" s="46"/>
      <c r="N34" s="45"/>
    </row>
    <row r="35" spans="5:14" ht="14.25" customHeight="1">
      <c r="E35" s="256">
        <v>31</v>
      </c>
      <c r="F35" s="69"/>
      <c r="G35" s="72"/>
      <c r="H35" s="72"/>
      <c r="I35" s="72"/>
      <c r="J35" s="46"/>
      <c r="N35" s="45"/>
    </row>
    <row r="36" spans="5:14" ht="14.25" customHeight="1">
      <c r="E36" s="256">
        <v>32</v>
      </c>
      <c r="F36" s="69"/>
      <c r="G36" s="72"/>
      <c r="H36" s="72"/>
      <c r="I36" s="72"/>
      <c r="J36" s="46"/>
      <c r="N36" s="45"/>
    </row>
    <row r="37" spans="5:14" ht="14.25" customHeight="1">
      <c r="E37" s="256">
        <v>33</v>
      </c>
      <c r="F37" s="69"/>
      <c r="G37" s="72"/>
      <c r="H37" s="72"/>
      <c r="I37" s="72"/>
      <c r="J37" s="46"/>
      <c r="N37" s="45"/>
    </row>
    <row r="38" spans="5:14" ht="14.25" customHeight="1">
      <c r="E38" s="256">
        <v>34</v>
      </c>
      <c r="F38" s="69"/>
      <c r="G38" s="72"/>
      <c r="H38" s="72"/>
      <c r="I38" s="72"/>
      <c r="J38" s="46"/>
      <c r="N38" s="45"/>
    </row>
    <row r="39" spans="5:14" ht="14.25" customHeight="1">
      <c r="E39" s="256">
        <v>35</v>
      </c>
      <c r="F39" s="69"/>
      <c r="G39" s="72"/>
      <c r="H39" s="72"/>
      <c r="I39" s="72"/>
      <c r="J39" s="46"/>
      <c r="N39" s="45"/>
    </row>
    <row r="40" spans="5:14" ht="14.25" customHeight="1" thickBot="1">
      <c r="E40" s="253">
        <v>36</v>
      </c>
      <c r="F40" s="69"/>
      <c r="G40" s="72"/>
      <c r="H40" s="72"/>
      <c r="I40" s="72"/>
      <c r="J40" s="46"/>
      <c r="L40" s="67" t="s">
        <v>79</v>
      </c>
      <c r="M40" s="96" t="s">
        <v>80</v>
      </c>
      <c r="N40" s="65" t="s">
        <v>78</v>
      </c>
    </row>
    <row r="41" spans="5:14" ht="14.25" customHeight="1" thickBot="1">
      <c r="E41" s="257">
        <v>37</v>
      </c>
      <c r="F41" s="68"/>
      <c r="G41" s="71"/>
      <c r="H41" s="71"/>
      <c r="I41" s="71"/>
      <c r="J41" s="10"/>
      <c r="L41" s="260">
        <f>H41*12</f>
        <v>0</v>
      </c>
      <c r="M41" s="97">
        <f>SUM(I29:I40)</f>
        <v>0</v>
      </c>
      <c r="N41" s="47">
        <f>SUM(G29:G40)</f>
        <v>0</v>
      </c>
    </row>
    <row r="42" spans="5:14" ht="14.25" customHeight="1">
      <c r="E42" s="257">
        <v>38</v>
      </c>
      <c r="F42" s="68"/>
      <c r="G42" s="71"/>
      <c r="H42" s="71"/>
      <c r="I42" s="71"/>
      <c r="J42" s="10"/>
      <c r="N42" s="45"/>
    </row>
    <row r="43" spans="5:14" ht="14.25" customHeight="1">
      <c r="E43" s="257">
        <v>39</v>
      </c>
      <c r="F43" s="68"/>
      <c r="G43" s="71"/>
      <c r="H43" s="71"/>
      <c r="I43" s="71"/>
      <c r="J43" s="10"/>
      <c r="N43" s="45"/>
    </row>
    <row r="44" spans="5:14" ht="14.25" customHeight="1">
      <c r="E44" s="257">
        <v>40</v>
      </c>
      <c r="F44" s="68"/>
      <c r="G44" s="71"/>
      <c r="H44" s="71"/>
      <c r="I44" s="71"/>
      <c r="J44" s="10"/>
      <c r="N44" s="45"/>
    </row>
    <row r="45" spans="5:14" ht="14.25" customHeight="1">
      <c r="E45" s="257">
        <v>41</v>
      </c>
      <c r="F45" s="68"/>
      <c r="G45" s="71"/>
      <c r="H45" s="71"/>
      <c r="I45" s="71"/>
      <c r="J45" s="10"/>
      <c r="N45" s="45"/>
    </row>
    <row r="46" spans="5:14" ht="14.25" customHeight="1">
      <c r="E46" s="257">
        <v>42</v>
      </c>
      <c r="F46" s="68"/>
      <c r="G46" s="71"/>
      <c r="H46" s="71"/>
      <c r="I46" s="71"/>
      <c r="J46" s="10"/>
      <c r="N46" s="45"/>
    </row>
    <row r="47" spans="5:14" ht="14.25" customHeight="1">
      <c r="E47" s="257">
        <v>43</v>
      </c>
      <c r="F47" s="68"/>
      <c r="G47" s="71"/>
      <c r="H47" s="71"/>
      <c r="I47" s="71"/>
      <c r="J47" s="10"/>
      <c r="N47" s="45"/>
    </row>
    <row r="48" spans="5:14" ht="14.25" customHeight="1">
      <c r="E48" s="257">
        <v>44</v>
      </c>
      <c r="F48" s="68"/>
      <c r="G48" s="71"/>
      <c r="H48" s="71"/>
      <c r="I48" s="71"/>
      <c r="J48" s="10"/>
      <c r="N48" s="45"/>
    </row>
    <row r="49" spans="5:14" ht="14.25" customHeight="1">
      <c r="E49" s="257">
        <v>45</v>
      </c>
      <c r="F49" s="68"/>
      <c r="G49" s="71"/>
      <c r="H49" s="71"/>
      <c r="I49" s="71"/>
      <c r="J49" s="10"/>
      <c r="N49" s="45"/>
    </row>
    <row r="50" spans="5:14" ht="14.25" customHeight="1">
      <c r="E50" s="257">
        <v>46</v>
      </c>
      <c r="F50" s="68"/>
      <c r="G50" s="71"/>
      <c r="H50" s="71"/>
      <c r="I50" s="71"/>
      <c r="J50" s="10"/>
      <c r="N50" s="45"/>
    </row>
    <row r="51" spans="5:14" ht="14.25" customHeight="1">
      <c r="E51" s="257">
        <v>47</v>
      </c>
      <c r="F51" s="68"/>
      <c r="G51" s="71"/>
      <c r="H51" s="71"/>
      <c r="I51" s="71"/>
      <c r="J51" s="10"/>
      <c r="N51" s="45"/>
    </row>
    <row r="52" spans="5:14" ht="14.25" customHeight="1" thickBot="1">
      <c r="E52" s="255">
        <v>48</v>
      </c>
      <c r="F52" s="70"/>
      <c r="G52" s="252"/>
      <c r="H52" s="252"/>
      <c r="I52" s="252"/>
      <c r="J52" s="11"/>
      <c r="L52" s="67" t="s">
        <v>79</v>
      </c>
      <c r="M52" s="96" t="s">
        <v>80</v>
      </c>
      <c r="N52" s="65" t="s">
        <v>78</v>
      </c>
    </row>
    <row r="53" spans="5:14" ht="15.75" thickBot="1">
      <c r="E53" s="261"/>
      <c r="F53" s="262"/>
      <c r="G53" s="263"/>
      <c r="H53" s="263"/>
      <c r="I53" s="263"/>
      <c r="J53" s="264"/>
      <c r="L53" s="260">
        <f>H53*12</f>
        <v>0</v>
      </c>
      <c r="M53" s="97">
        <f>SUM(I41:I52)</f>
        <v>0</v>
      </c>
      <c r="N53" s="47">
        <f>SUM(G41:G52)</f>
        <v>0</v>
      </c>
    </row>
    <row r="55" spans="12:14" ht="15">
      <c r="L55" s="409"/>
      <c r="M55" s="409">
        <f>SUM(M53,M41,M29,M17)</f>
        <v>749267805.8741806</v>
      </c>
      <c r="N55" s="409">
        <f>SUM(N53,N41,N29,N17)</f>
        <v>238127183.06972796</v>
      </c>
    </row>
    <row r="56" ht="15">
      <c r="M56" s="408"/>
    </row>
  </sheetData>
  <sheetProtection/>
  <mergeCells count="2">
    <mergeCell ref="E2:J2"/>
    <mergeCell ref="B2:C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2:P39"/>
  <sheetViews>
    <sheetView zoomScale="60" zoomScaleNormal="60" zoomScalePageLayoutView="0" workbookViewId="0" topLeftCell="A3">
      <selection activeCell="A15" sqref="A15"/>
    </sheetView>
  </sheetViews>
  <sheetFormatPr defaultColWidth="11.421875" defaultRowHeight="15"/>
  <cols>
    <col min="1" max="1" width="1.57421875" style="12" customWidth="1"/>
    <col min="2" max="2" width="33.421875" style="12" customWidth="1"/>
    <col min="3" max="3" width="23.57421875" style="12" customWidth="1"/>
    <col min="4" max="4" width="2.28125" style="12" customWidth="1"/>
    <col min="5" max="5" width="30.00390625" style="12" customWidth="1"/>
    <col min="6" max="6" width="23.28125" style="12" customWidth="1"/>
    <col min="7" max="7" width="2.00390625" style="12" customWidth="1"/>
    <col min="8" max="8" width="30.57421875" style="12" customWidth="1"/>
    <col min="9" max="9" width="21.7109375" style="12" bestFit="1" customWidth="1"/>
    <col min="10" max="10" width="2.7109375" style="12" customWidth="1"/>
    <col min="11" max="11" width="30.7109375" style="12" customWidth="1"/>
    <col min="12" max="12" width="21.7109375" style="12" bestFit="1" customWidth="1"/>
    <col min="13" max="13" width="1.7109375" style="12" customWidth="1"/>
    <col min="14" max="14" width="29.7109375" style="12" customWidth="1"/>
    <col min="15" max="15" width="22.57421875" style="12" bestFit="1" customWidth="1"/>
    <col min="16" max="16384" width="11.421875" style="12" customWidth="1"/>
  </cols>
  <sheetData>
    <row r="1" ht="6.75" customHeight="1" thickBot="1"/>
    <row r="2" spans="2:16" ht="15.75" thickBot="1">
      <c r="B2" s="653" t="s">
        <v>96</v>
      </c>
      <c r="C2" s="654"/>
      <c r="D2" s="134"/>
      <c r="E2" s="653" t="s">
        <v>97</v>
      </c>
      <c r="F2" s="654"/>
      <c r="G2" s="134"/>
      <c r="H2" s="653" t="s">
        <v>98</v>
      </c>
      <c r="I2" s="654"/>
      <c r="J2" s="134"/>
      <c r="K2" s="653" t="s">
        <v>99</v>
      </c>
      <c r="L2" s="654"/>
      <c r="M2" s="134"/>
      <c r="N2" s="653" t="s">
        <v>100</v>
      </c>
      <c r="O2" s="654"/>
      <c r="P2" s="20"/>
    </row>
    <row r="3" spans="2:15" ht="15">
      <c r="B3" s="136"/>
      <c r="C3" s="137"/>
      <c r="E3" s="136"/>
      <c r="F3" s="137"/>
      <c r="H3" s="136"/>
      <c r="I3" s="137"/>
      <c r="K3" s="136"/>
      <c r="L3" s="137"/>
      <c r="N3" s="136"/>
      <c r="O3" s="137"/>
    </row>
    <row r="4" spans="2:15" ht="15">
      <c r="B4" s="138" t="s">
        <v>101</v>
      </c>
      <c r="C4" s="139">
        <f>'PRESUPUESTOS DE VENTA  '!E13</f>
        <v>987900000</v>
      </c>
      <c r="E4" s="144" t="s">
        <v>101</v>
      </c>
      <c r="F4" s="139">
        <f>+'PRESUPUESTOS DE VENTA  '!L13</f>
        <v>1077721200</v>
      </c>
      <c r="H4" s="138" t="s">
        <v>101</v>
      </c>
      <c r="I4" s="139">
        <f>'PRESUPUESTOS DE VENTA  '!S13</f>
        <v>1173534324</v>
      </c>
      <c r="K4" s="144" t="s">
        <v>101</v>
      </c>
      <c r="L4" s="139">
        <f>+'PRESUPUESTOS DE VENTA  '!Z13</f>
        <v>1279902624</v>
      </c>
      <c r="N4" s="138" t="s">
        <v>101</v>
      </c>
      <c r="O4" s="139">
        <f>+'PRESUPUESTOS DE VENTA  '!AG13</f>
        <v>1393359552</v>
      </c>
    </row>
    <row r="5" spans="2:15" ht="15">
      <c r="B5" s="138" t="s">
        <v>102</v>
      </c>
      <c r="C5" s="139">
        <v>0</v>
      </c>
      <c r="E5" s="144" t="s">
        <v>102</v>
      </c>
      <c r="F5" s="139">
        <v>0</v>
      </c>
      <c r="H5" s="138" t="s">
        <v>102</v>
      </c>
      <c r="I5" s="139">
        <v>0</v>
      </c>
      <c r="K5" s="144" t="s">
        <v>102</v>
      </c>
      <c r="L5" s="139">
        <v>0</v>
      </c>
      <c r="N5" s="138" t="s">
        <v>102</v>
      </c>
      <c r="O5" s="139">
        <v>0</v>
      </c>
    </row>
    <row r="6" spans="2:15" ht="15">
      <c r="B6" s="138" t="s">
        <v>103</v>
      </c>
      <c r="C6" s="139">
        <f>'PRESUPUESTROS DE COMPRA'!E13+'PRESUPESTOS MOD'!D7+'PRESUPUESTOS DE CIF'!D4</f>
        <v>806293384.4731305</v>
      </c>
      <c r="E6" s="144" t="s">
        <v>103</v>
      </c>
      <c r="F6" s="139">
        <f>+'PRESUPUESTROS DE COMPRA'!K13+'PRESUPESTOS MOD'!E7+'PRESUPUESTOS DE CIF'!D8</f>
        <v>869642250.9943373</v>
      </c>
      <c r="H6" s="138" t="s">
        <v>103</v>
      </c>
      <c r="I6" s="139">
        <f>+'PRESUPUESTROS DE COMPRA'!Q13+'PRESUPESTOS MOD'!F7+'PRESUPUESTOS DE CIF'!D12</f>
        <v>928471951.6503991</v>
      </c>
      <c r="K6" s="144" t="s">
        <v>103</v>
      </c>
      <c r="L6" s="139">
        <f>+'PRESUPUESTROS DE COMPRA'!W13+'PRESUPESTOS MOD'!G7+'PRESUPUESTOS DE CIF'!D16</f>
        <v>1002576477.2041787</v>
      </c>
      <c r="N6" s="138" t="s">
        <v>103</v>
      </c>
      <c r="O6" s="139">
        <f>+'PRESUPUESTROS DE COMPRA'!AC13+'PRESUPESTOS MOD'!H7+'PRESUPUESTOS DE CIF'!D20</f>
        <v>1081627400.1240914</v>
      </c>
    </row>
    <row r="7" spans="2:15" ht="15">
      <c r="B7" s="417" t="s">
        <v>104</v>
      </c>
      <c r="C7" s="418">
        <f>+C4-C5-C6</f>
        <v>181606615.52686954</v>
      </c>
      <c r="E7" s="417" t="s">
        <v>104</v>
      </c>
      <c r="F7" s="418">
        <f>+F4-F5-F6</f>
        <v>208078949.00566268</v>
      </c>
      <c r="H7" s="417" t="s">
        <v>104</v>
      </c>
      <c r="I7" s="418">
        <f>+I4-I5-I6</f>
        <v>245062372.3496009</v>
      </c>
      <c r="K7" s="417" t="s">
        <v>104</v>
      </c>
      <c r="L7" s="418">
        <f>+L4-L5-L6</f>
        <v>277326146.7958213</v>
      </c>
      <c r="N7" s="417" t="s">
        <v>104</v>
      </c>
      <c r="O7" s="418">
        <f>+O4-O5-O6</f>
        <v>311732151.8759086</v>
      </c>
    </row>
    <row r="8" spans="2:15" ht="24.75">
      <c r="B8" s="145" t="s">
        <v>105</v>
      </c>
      <c r="C8" s="140">
        <f>'PRESUPUESTO DE GASTOS ADMINISTR'!F6+'PRESUPUESTO DE PUBLICIDAD'!C9</f>
        <v>68382269.8</v>
      </c>
      <c r="E8" s="145" t="s">
        <v>105</v>
      </c>
      <c r="F8" s="140">
        <f>+'PRESUPUESTO DE GASTOS ADMINISTR'!F11+'PRESUPUESTO DE PUBLICIDAD'!D9</f>
        <v>70686269.8</v>
      </c>
      <c r="H8" s="145" t="s">
        <v>105</v>
      </c>
      <c r="I8" s="143">
        <f>+'PRESUPUESTO DE GASTOS ADMINISTR'!F16+'PRESUPUESTO DE PUBLICIDAD'!E9</f>
        <v>73201709.8</v>
      </c>
      <c r="K8" s="145" t="s">
        <v>105</v>
      </c>
      <c r="L8" s="140">
        <f>+'PRESUPUESTO DE GASTOS ADMINISTR'!F20+'PRESUPUESTO DE PUBLICIDAD'!F9</f>
        <v>75946582.60000001</v>
      </c>
      <c r="N8" s="145" t="s">
        <v>105</v>
      </c>
      <c r="O8" s="140">
        <f>+'PRESUPUESTO DE GASTOS ADMINISTR'!F25+'PRESUPUESTO DE PUBLICIDAD'!G9</f>
        <v>78940939.8016</v>
      </c>
    </row>
    <row r="9" spans="1:15" ht="15">
      <c r="A9" s="285" t="s">
        <v>202</v>
      </c>
      <c r="B9" s="417" t="s">
        <v>106</v>
      </c>
      <c r="C9" s="418">
        <f>+C7-C8</f>
        <v>113224345.72686954</v>
      </c>
      <c r="E9" s="417" t="s">
        <v>106</v>
      </c>
      <c r="F9" s="418">
        <f>+F7-F8</f>
        <v>137392679.20566267</v>
      </c>
      <c r="H9" s="417" t="s">
        <v>106</v>
      </c>
      <c r="I9" s="418">
        <f>+I7-I8</f>
        <v>171860662.5496009</v>
      </c>
      <c r="K9" s="417" t="s">
        <v>106</v>
      </c>
      <c r="L9" s="418">
        <f>+L7-L8</f>
        <v>201379564.1958213</v>
      </c>
      <c r="N9" s="417" t="s">
        <v>106</v>
      </c>
      <c r="O9" s="418">
        <f>+O7-O8</f>
        <v>232791212.07430863</v>
      </c>
    </row>
    <row r="10" spans="2:15" ht="15">
      <c r="B10" s="138" t="s">
        <v>107</v>
      </c>
      <c r="C10" s="139">
        <f>'PRESUPUESTO DE INVERSION'!N17</f>
        <v>170653147.32649276</v>
      </c>
      <c r="E10" s="144" t="s">
        <v>107</v>
      </c>
      <c r="F10" s="139">
        <f>+'PRESUPUESTO DE INVERSION'!N29</f>
        <v>67474035.74323522</v>
      </c>
      <c r="H10" s="138" t="s">
        <v>107</v>
      </c>
      <c r="I10" s="139">
        <f>+'PRESUPUESTO DE INVERSION'!N41</f>
        <v>0</v>
      </c>
      <c r="K10" s="144" t="s">
        <v>107</v>
      </c>
      <c r="L10" s="139">
        <f>+'PRESUPUESTO DE INVERSION'!N53</f>
        <v>0</v>
      </c>
      <c r="N10" s="138" t="s">
        <v>107</v>
      </c>
      <c r="O10" s="139">
        <v>0</v>
      </c>
    </row>
    <row r="11" spans="2:15" ht="15">
      <c r="B11" s="138" t="s">
        <v>108</v>
      </c>
      <c r="C11" s="139">
        <v>0</v>
      </c>
      <c r="E11" s="144" t="s">
        <v>108</v>
      </c>
      <c r="F11" s="139">
        <v>0</v>
      </c>
      <c r="H11" s="138" t="s">
        <v>108</v>
      </c>
      <c r="I11" s="139">
        <v>0</v>
      </c>
      <c r="K11" s="144" t="s">
        <v>108</v>
      </c>
      <c r="L11" s="139">
        <v>0</v>
      </c>
      <c r="N11" s="138" t="s">
        <v>108</v>
      </c>
      <c r="O11" s="139">
        <v>0</v>
      </c>
    </row>
    <row r="12" spans="2:15" ht="15">
      <c r="B12" s="138" t="s">
        <v>109</v>
      </c>
      <c r="C12" s="139">
        <v>0</v>
      </c>
      <c r="E12" s="144" t="s">
        <v>109</v>
      </c>
      <c r="F12" s="139">
        <v>0</v>
      </c>
      <c r="H12" s="138" t="s">
        <v>109</v>
      </c>
      <c r="I12" s="139">
        <v>0</v>
      </c>
      <c r="K12" s="144" t="s">
        <v>109</v>
      </c>
      <c r="L12" s="139">
        <v>0</v>
      </c>
      <c r="N12" s="138" t="s">
        <v>109</v>
      </c>
      <c r="O12" s="139">
        <v>0</v>
      </c>
    </row>
    <row r="13" spans="2:15" ht="15">
      <c r="B13" s="417" t="s">
        <v>110</v>
      </c>
      <c r="C13" s="418">
        <f>+C9-C10-C11-C12</f>
        <v>-57428801.59962322</v>
      </c>
      <c r="E13" s="417" t="s">
        <v>110</v>
      </c>
      <c r="F13" s="418">
        <f>+F9-F10-F11-F12</f>
        <v>69918643.46242745</v>
      </c>
      <c r="H13" s="417" t="s">
        <v>110</v>
      </c>
      <c r="I13" s="418">
        <f>+I9-I10-I11-I12</f>
        <v>171860662.5496009</v>
      </c>
      <c r="K13" s="417" t="s">
        <v>110</v>
      </c>
      <c r="L13" s="418">
        <f>+L9-L10-L11-L12</f>
        <v>201379564.1958213</v>
      </c>
      <c r="N13" s="417" t="s">
        <v>110</v>
      </c>
      <c r="O13" s="418">
        <f>+O9-O10+O11-O12</f>
        <v>232791212.07430863</v>
      </c>
    </row>
    <row r="14" spans="2:15" ht="15">
      <c r="B14" s="138" t="s">
        <v>111</v>
      </c>
      <c r="C14" s="139">
        <f>+C13*0.33</f>
        <v>-18951504.52787566</v>
      </c>
      <c r="E14" s="144" t="s">
        <v>111</v>
      </c>
      <c r="F14" s="139">
        <f>+F13*0.33</f>
        <v>23073152.34260106</v>
      </c>
      <c r="H14" s="138" t="s">
        <v>111</v>
      </c>
      <c r="I14" s="139">
        <f>+I13*0.33</f>
        <v>56714018.6413683</v>
      </c>
      <c r="K14" s="144" t="s">
        <v>111</v>
      </c>
      <c r="L14" s="139">
        <f>+L13*0.33</f>
        <v>66455256.18462103</v>
      </c>
      <c r="N14" s="138" t="s">
        <v>111</v>
      </c>
      <c r="O14" s="139">
        <f>+O13*0.33</f>
        <v>76821099.98452185</v>
      </c>
    </row>
    <row r="15" spans="2:15" ht="15">
      <c r="B15" s="417" t="s">
        <v>257</v>
      </c>
      <c r="C15" s="419">
        <f>+C13-C14</f>
        <v>-38477297.07174756</v>
      </c>
      <c r="E15" s="417" t="s">
        <v>257</v>
      </c>
      <c r="F15" s="419">
        <f>+F13-F14</f>
        <v>46845491.11982639</v>
      </c>
      <c r="H15" s="417" t="s">
        <v>257</v>
      </c>
      <c r="I15" s="419">
        <f>+I13-I14</f>
        <v>115146643.9082326</v>
      </c>
      <c r="K15" s="417" t="s">
        <v>257</v>
      </c>
      <c r="L15" s="419">
        <f>+L13-L14</f>
        <v>134924308.01120025</v>
      </c>
      <c r="N15" s="417" t="s">
        <v>257</v>
      </c>
      <c r="O15" s="419">
        <f>+O13-O14</f>
        <v>155970112.08978677</v>
      </c>
    </row>
    <row r="16" spans="2:15" ht="15.75" thickBot="1">
      <c r="B16" s="141"/>
      <c r="C16" s="142"/>
      <c r="E16" s="141"/>
      <c r="F16" s="142"/>
      <c r="H16" s="141"/>
      <c r="I16" s="142"/>
      <c r="K16" s="141"/>
      <c r="L16" s="142"/>
      <c r="N16" s="141"/>
      <c r="O16" s="142"/>
    </row>
    <row r="19" spans="2:15" ht="15.75">
      <c r="B19" s="282" t="s">
        <v>200</v>
      </c>
      <c r="C19" s="290">
        <f>(C9/BALANCE!I27)</f>
        <v>0.24152226141026617</v>
      </c>
      <c r="E19" s="282" t="s">
        <v>200</v>
      </c>
      <c r="F19" s="290">
        <f>(F9/BALANCE!O27)</f>
        <v>1.0452774791068706</v>
      </c>
      <c r="G19" s="286"/>
      <c r="H19" s="282" t="s">
        <v>200</v>
      </c>
      <c r="I19" s="290">
        <f>(I9/BALANCE!U27)</f>
        <v>0.6132868136286862</v>
      </c>
      <c r="J19" s="286"/>
      <c r="K19" s="282" t="s">
        <v>200</v>
      </c>
      <c r="L19" s="290">
        <f>(L9/BALANCE!AA27)</f>
        <v>0.47395202943558123</v>
      </c>
      <c r="M19" s="286"/>
      <c r="N19" s="282" t="s">
        <v>200</v>
      </c>
      <c r="O19" s="290">
        <f>(O9/BALANCE!AG27)</f>
        <v>0.3937402890564059</v>
      </c>
    </row>
    <row r="20" spans="2:15" ht="15.75">
      <c r="B20" s="283" t="s">
        <v>201</v>
      </c>
      <c r="C20" s="284">
        <v>0.13</v>
      </c>
      <c r="E20" s="287" t="s">
        <v>201</v>
      </c>
      <c r="F20" s="288">
        <v>0.13</v>
      </c>
      <c r="G20" s="289"/>
      <c r="H20" s="287" t="s">
        <v>201</v>
      </c>
      <c r="I20" s="288">
        <v>0.13</v>
      </c>
      <c r="J20" s="289"/>
      <c r="K20" s="287" t="s">
        <v>201</v>
      </c>
      <c r="L20" s="288">
        <v>0.13</v>
      </c>
      <c r="M20" s="289"/>
      <c r="N20" s="287" t="s">
        <v>201</v>
      </c>
      <c r="O20" s="288">
        <v>0.13</v>
      </c>
    </row>
    <row r="21" ht="15.75">
      <c r="B21" s="281"/>
    </row>
    <row r="22" spans="2:15" ht="15.75">
      <c r="B22" s="282" t="s">
        <v>203</v>
      </c>
      <c r="C22" s="290">
        <f>(C15/BALANCE!L22)</f>
        <v>-0.6254162323885484</v>
      </c>
      <c r="E22" s="282" t="s">
        <v>203</v>
      </c>
      <c r="F22" s="290">
        <f>(F15/BALANCE!R22)</f>
        <v>0.4322808138617022</v>
      </c>
      <c r="G22" s="286"/>
      <c r="H22" s="282" t="s">
        <v>203</v>
      </c>
      <c r="I22" s="290">
        <f>(I15/BALANCE!X22)</f>
        <v>0.5151633106824852</v>
      </c>
      <c r="J22" s="286"/>
      <c r="K22" s="282" t="s">
        <v>203</v>
      </c>
      <c r="L22" s="290">
        <f>(L15/BALANCE!AD22)</f>
        <v>0.37642179859291813</v>
      </c>
      <c r="M22" s="286"/>
      <c r="N22" s="282" t="s">
        <v>203</v>
      </c>
      <c r="O22" s="290">
        <f>(O15/BALANCE!AJ22)</f>
        <v>0.3032023814633868</v>
      </c>
    </row>
    <row r="24" ht="15">
      <c r="B24" s="420"/>
    </row>
    <row r="25" ht="15.75">
      <c r="B25" s="421" t="s">
        <v>258</v>
      </c>
    </row>
    <row r="26" ht="15">
      <c r="B26" s="420"/>
    </row>
    <row r="27" ht="15">
      <c r="B27" s="422">
        <f>C19</f>
        <v>0.24152226141026617</v>
      </c>
    </row>
    <row r="28" ht="15">
      <c r="B28" s="422">
        <f>F19</f>
        <v>1.0452774791068706</v>
      </c>
    </row>
    <row r="29" ht="15">
      <c r="B29" s="422">
        <f>I19</f>
        <v>0.6132868136286862</v>
      </c>
    </row>
    <row r="30" ht="15">
      <c r="B30" s="422">
        <f>L19</f>
        <v>0.47395202943558123</v>
      </c>
    </row>
    <row r="31" ht="15">
      <c r="B31" s="422">
        <f>O19</f>
        <v>0.3937402890564059</v>
      </c>
    </row>
    <row r="32" ht="15">
      <c r="B32" s="420"/>
    </row>
    <row r="33" ht="15.75">
      <c r="B33" s="421" t="s">
        <v>259</v>
      </c>
    </row>
    <row r="34" ht="15">
      <c r="B34" s="423"/>
    </row>
    <row r="35" ht="15">
      <c r="B35" s="422">
        <f>C22</f>
        <v>-0.6254162323885484</v>
      </c>
    </row>
    <row r="36" ht="15">
      <c r="B36" s="422">
        <f>F22</f>
        <v>0.4322808138617022</v>
      </c>
    </row>
    <row r="37" ht="15">
      <c r="B37" s="422">
        <f>I22</f>
        <v>0.5151633106824852</v>
      </c>
    </row>
    <row r="38" ht="15">
      <c r="B38" s="422">
        <f>L22</f>
        <v>0.37642179859291813</v>
      </c>
    </row>
    <row r="39" ht="15">
      <c r="B39" s="422">
        <f>O22</f>
        <v>0.3032023814633868</v>
      </c>
    </row>
  </sheetData>
  <sheetProtection/>
  <mergeCells count="5">
    <mergeCell ref="N2:O2"/>
    <mergeCell ref="B2:C2"/>
    <mergeCell ref="E2:F2"/>
    <mergeCell ref="H2:I2"/>
    <mergeCell ref="K2:L2"/>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tabColor rgb="FF0070C0"/>
  </sheetPr>
  <dimension ref="B2:AP34"/>
  <sheetViews>
    <sheetView zoomScalePageLayoutView="0" workbookViewId="0" topLeftCell="A3">
      <selection activeCell="B3" sqref="B2:F28"/>
    </sheetView>
  </sheetViews>
  <sheetFormatPr defaultColWidth="11.421875" defaultRowHeight="15"/>
  <cols>
    <col min="1" max="1" width="1.8515625" style="12" customWidth="1"/>
    <col min="2" max="2" width="25.421875" style="12" bestFit="1" customWidth="1"/>
    <col min="3" max="3" width="13.8515625" style="12" customWidth="1"/>
    <col min="4" max="4" width="1.8515625" style="12" customWidth="1"/>
    <col min="5" max="5" width="24.28125" style="12" customWidth="1"/>
    <col min="6" max="6" width="16.8515625" style="12" customWidth="1"/>
    <col min="7" max="7" width="2.28125" style="12" customWidth="1"/>
    <col min="8" max="8" width="27.140625" style="12" customWidth="1"/>
    <col min="9" max="9" width="17.28125" style="12" bestFit="1" customWidth="1"/>
    <col min="10" max="10" width="1.57421875" style="12" customWidth="1"/>
    <col min="11" max="11" width="27.7109375" style="12" bestFit="1" customWidth="1"/>
    <col min="12" max="12" width="17.28125" style="12" bestFit="1" customWidth="1"/>
    <col min="13" max="13" width="2.28125" style="12" customWidth="1"/>
    <col min="14" max="14" width="29.00390625" style="12" customWidth="1"/>
    <col min="15" max="15" width="15.140625" style="12" customWidth="1"/>
    <col min="16" max="16" width="1.7109375" style="12" customWidth="1"/>
    <col min="17" max="17" width="30.421875" style="12" customWidth="1"/>
    <col min="18" max="18" width="16.140625" style="12" bestFit="1" customWidth="1"/>
    <col min="19" max="19" width="3.421875" style="12" customWidth="1"/>
    <col min="20" max="20" width="23.7109375" style="12" bestFit="1" customWidth="1"/>
    <col min="21" max="21" width="16.421875" style="12" customWidth="1"/>
    <col min="22" max="22" width="1.8515625" style="12" customWidth="1"/>
    <col min="23" max="23" width="24.28125" style="12" bestFit="1" customWidth="1"/>
    <col min="24" max="24" width="16.57421875" style="12" bestFit="1" customWidth="1"/>
    <col min="25" max="25" width="3.00390625" style="12" customWidth="1"/>
    <col min="26" max="26" width="20.7109375" style="12" customWidth="1"/>
    <col min="27" max="27" width="16.28125" style="12" customWidth="1"/>
    <col min="28" max="28" width="2.28125" style="12" customWidth="1"/>
    <col min="29" max="29" width="26.140625" style="12" customWidth="1"/>
    <col min="30" max="30" width="17.8515625" style="12" customWidth="1"/>
    <col min="31" max="31" width="11.421875" style="12" customWidth="1"/>
    <col min="32" max="32" width="27.28125" style="12" customWidth="1"/>
    <col min="33" max="33" width="16.421875" style="12" bestFit="1" customWidth="1"/>
    <col min="34" max="34" width="1.421875" style="12" customWidth="1"/>
    <col min="35" max="35" width="28.8515625" style="12" customWidth="1"/>
    <col min="36" max="36" width="16.421875" style="12" bestFit="1" customWidth="1"/>
    <col min="37" max="37" width="11.421875" style="12" customWidth="1"/>
    <col min="38" max="38" width="23.7109375" style="12" customWidth="1"/>
    <col min="39" max="39" width="15.28125" style="12" customWidth="1"/>
    <col min="40" max="40" width="2.421875" style="12" customWidth="1"/>
    <col min="41" max="41" width="28.140625" style="12" customWidth="1"/>
    <col min="42" max="42" width="15.00390625" style="12" customWidth="1"/>
    <col min="43" max="16384" width="11.421875" style="12" customWidth="1"/>
  </cols>
  <sheetData>
    <row r="1" ht="9.75" customHeight="1" thickBot="1"/>
    <row r="2" spans="2:42" ht="16.5" thickBot="1">
      <c r="B2" s="662" t="s">
        <v>134</v>
      </c>
      <c r="C2" s="663"/>
      <c r="D2" s="663"/>
      <c r="E2" s="663"/>
      <c r="F2" s="664"/>
      <c r="G2" s="134"/>
      <c r="H2" s="658" t="s">
        <v>135</v>
      </c>
      <c r="I2" s="659"/>
      <c r="J2" s="659"/>
      <c r="K2" s="659"/>
      <c r="L2" s="660"/>
      <c r="M2" s="135"/>
      <c r="N2" s="655" t="s">
        <v>172</v>
      </c>
      <c r="O2" s="656"/>
      <c r="P2" s="656"/>
      <c r="Q2" s="656"/>
      <c r="R2" s="657"/>
      <c r="S2" s="135"/>
      <c r="T2" s="658" t="s">
        <v>175</v>
      </c>
      <c r="U2" s="659"/>
      <c r="V2" s="659"/>
      <c r="W2" s="659"/>
      <c r="X2" s="660"/>
      <c r="Y2" s="135"/>
      <c r="Z2" s="655" t="s">
        <v>176</v>
      </c>
      <c r="AA2" s="656"/>
      <c r="AB2" s="656"/>
      <c r="AC2" s="656"/>
      <c r="AD2" s="657"/>
      <c r="AE2" s="135"/>
      <c r="AF2" s="658" t="s">
        <v>177</v>
      </c>
      <c r="AG2" s="659"/>
      <c r="AH2" s="659"/>
      <c r="AI2" s="659"/>
      <c r="AJ2" s="660"/>
      <c r="AL2" s="661"/>
      <c r="AM2" s="661"/>
      <c r="AN2" s="661"/>
      <c r="AO2" s="661"/>
      <c r="AP2" s="661"/>
    </row>
    <row r="3" spans="2:42" ht="15.75" thickBot="1">
      <c r="B3" s="462"/>
      <c r="C3" s="463"/>
      <c r="D3" s="464"/>
      <c r="E3" s="462"/>
      <c r="F3" s="463"/>
      <c r="H3" s="123"/>
      <c r="I3" s="124"/>
      <c r="J3" s="113"/>
      <c r="K3" s="123"/>
      <c r="L3" s="124"/>
      <c r="N3" s="131"/>
      <c r="O3" s="132"/>
      <c r="P3" s="37"/>
      <c r="Q3" s="131"/>
      <c r="R3" s="132"/>
      <c r="T3" s="111"/>
      <c r="U3" s="112"/>
      <c r="V3" s="113"/>
      <c r="W3" s="111"/>
      <c r="X3" s="112"/>
      <c r="Z3" s="25"/>
      <c r="AA3" s="27"/>
      <c r="AB3" s="37"/>
      <c r="AC3" s="25"/>
      <c r="AD3" s="27"/>
      <c r="AF3" s="123"/>
      <c r="AG3" s="124"/>
      <c r="AH3" s="125"/>
      <c r="AI3" s="123"/>
      <c r="AJ3" s="124"/>
      <c r="AL3" s="22"/>
      <c r="AM3" s="23"/>
      <c r="AN3" s="40"/>
      <c r="AO3" s="22"/>
      <c r="AP3" s="23"/>
    </row>
    <row r="4" spans="2:42" ht="15">
      <c r="B4" s="465" t="s">
        <v>136</v>
      </c>
      <c r="C4" s="466"/>
      <c r="D4" s="461"/>
      <c r="E4" s="465" t="s">
        <v>137</v>
      </c>
      <c r="F4" s="466"/>
      <c r="G4" s="21"/>
      <c r="H4" s="111" t="s">
        <v>136</v>
      </c>
      <c r="I4" s="114"/>
      <c r="J4" s="115"/>
      <c r="K4" s="111" t="s">
        <v>137</v>
      </c>
      <c r="L4" s="114"/>
      <c r="N4" s="25" t="s">
        <v>136</v>
      </c>
      <c r="O4" s="26"/>
      <c r="P4" s="38"/>
      <c r="Q4" s="25" t="s">
        <v>137</v>
      </c>
      <c r="R4" s="26"/>
      <c r="T4" s="111" t="s">
        <v>136</v>
      </c>
      <c r="U4" s="114"/>
      <c r="V4" s="115"/>
      <c r="W4" s="111" t="s">
        <v>137</v>
      </c>
      <c r="X4" s="114"/>
      <c r="Z4" s="25" t="s">
        <v>136</v>
      </c>
      <c r="AA4" s="26"/>
      <c r="AB4" s="38"/>
      <c r="AC4" s="25" t="s">
        <v>137</v>
      </c>
      <c r="AD4" s="26"/>
      <c r="AF4" s="123" t="s">
        <v>136</v>
      </c>
      <c r="AG4" s="128"/>
      <c r="AH4" s="115"/>
      <c r="AI4" s="111" t="s">
        <v>137</v>
      </c>
      <c r="AJ4" s="114"/>
      <c r="AL4" s="22"/>
      <c r="AM4" s="22"/>
      <c r="AN4" s="41"/>
      <c r="AO4" s="22"/>
      <c r="AP4" s="22"/>
    </row>
    <row r="5" spans="2:42" ht="15">
      <c r="B5" s="465"/>
      <c r="C5" s="467"/>
      <c r="D5" s="464"/>
      <c r="E5" s="465"/>
      <c r="F5" s="467"/>
      <c r="H5" s="111"/>
      <c r="I5" s="112"/>
      <c r="J5" s="113"/>
      <c r="K5" s="111"/>
      <c r="L5" s="112"/>
      <c r="N5" s="25"/>
      <c r="O5" s="27"/>
      <c r="P5" s="37"/>
      <c r="Q5" s="25"/>
      <c r="R5" s="27"/>
      <c r="T5" s="111"/>
      <c r="U5" s="112"/>
      <c r="V5" s="113"/>
      <c r="W5" s="111"/>
      <c r="X5" s="112"/>
      <c r="Z5" s="25"/>
      <c r="AA5" s="27"/>
      <c r="AB5" s="37"/>
      <c r="AC5" s="25"/>
      <c r="AD5" s="27"/>
      <c r="AF5" s="111"/>
      <c r="AG5" s="112"/>
      <c r="AH5" s="113"/>
      <c r="AI5" s="111"/>
      <c r="AJ5" s="112"/>
      <c r="AL5" s="22"/>
      <c r="AM5" s="23"/>
      <c r="AN5" s="40"/>
      <c r="AO5" s="22"/>
      <c r="AP5" s="23"/>
    </row>
    <row r="6" spans="2:42" ht="15">
      <c r="B6" s="465" t="s">
        <v>138</v>
      </c>
      <c r="C6" s="467"/>
      <c r="D6" s="464"/>
      <c r="E6" s="465" t="s">
        <v>139</v>
      </c>
      <c r="F6" s="467"/>
      <c r="H6" s="111" t="s">
        <v>138</v>
      </c>
      <c r="I6" s="112"/>
      <c r="J6" s="113"/>
      <c r="K6" s="111" t="s">
        <v>139</v>
      </c>
      <c r="L6" s="112"/>
      <c r="N6" s="25" t="s">
        <v>138</v>
      </c>
      <c r="O6" s="27"/>
      <c r="P6" s="37"/>
      <c r="Q6" s="25" t="s">
        <v>139</v>
      </c>
      <c r="R6" s="27"/>
      <c r="T6" s="111" t="s">
        <v>138</v>
      </c>
      <c r="U6" s="127"/>
      <c r="V6" s="113"/>
      <c r="W6" s="111" t="s">
        <v>139</v>
      </c>
      <c r="X6" s="127"/>
      <c r="Z6" s="25" t="s">
        <v>138</v>
      </c>
      <c r="AA6" s="130"/>
      <c r="AB6" s="37"/>
      <c r="AC6" s="25" t="s">
        <v>139</v>
      </c>
      <c r="AD6" s="130"/>
      <c r="AF6" s="111" t="s">
        <v>138</v>
      </c>
      <c r="AG6" s="112"/>
      <c r="AH6" s="113"/>
      <c r="AI6" s="111" t="s">
        <v>139</v>
      </c>
      <c r="AJ6" s="112"/>
      <c r="AL6" s="22"/>
      <c r="AM6" s="23"/>
      <c r="AN6" s="40"/>
      <c r="AO6" s="22"/>
      <c r="AP6" s="23"/>
    </row>
    <row r="7" spans="2:42" ht="15">
      <c r="B7" s="465"/>
      <c r="C7" s="467"/>
      <c r="D7" s="464"/>
      <c r="E7" s="465"/>
      <c r="F7" s="467"/>
      <c r="H7" s="111"/>
      <c r="I7" s="112"/>
      <c r="J7" s="113"/>
      <c r="K7" s="111"/>
      <c r="L7" s="112"/>
      <c r="N7" s="25"/>
      <c r="O7" s="27"/>
      <c r="P7" s="37"/>
      <c r="Q7" s="25"/>
      <c r="R7" s="27"/>
      <c r="T7" s="111"/>
      <c r="U7" s="112"/>
      <c r="V7" s="113"/>
      <c r="W7" s="111"/>
      <c r="X7" s="112"/>
      <c r="Z7" s="25"/>
      <c r="AA7" s="27"/>
      <c r="AB7" s="37"/>
      <c r="AC7" s="25"/>
      <c r="AD7" s="27"/>
      <c r="AF7" s="111"/>
      <c r="AG7" s="112"/>
      <c r="AH7" s="113"/>
      <c r="AI7" s="111"/>
      <c r="AJ7" s="112"/>
      <c r="AL7" s="22"/>
      <c r="AM7" s="23"/>
      <c r="AN7" s="40"/>
      <c r="AO7" s="22"/>
      <c r="AP7" s="23"/>
    </row>
    <row r="8" spans="2:42" ht="15">
      <c r="B8" s="465" t="s">
        <v>140</v>
      </c>
      <c r="C8" s="468">
        <f>+DATOS!N88+DATOS!N89</f>
        <v>849267805.8741804</v>
      </c>
      <c r="D8" s="464"/>
      <c r="E8" s="465" t="s">
        <v>141</v>
      </c>
      <c r="F8" s="468"/>
      <c r="H8" s="111" t="s">
        <v>140</v>
      </c>
      <c r="I8" s="117"/>
      <c r="J8" s="113"/>
      <c r="K8" s="111" t="s">
        <v>141</v>
      </c>
      <c r="L8" s="117"/>
      <c r="N8" s="25" t="s">
        <v>140</v>
      </c>
      <c r="O8" s="78"/>
      <c r="P8" s="37"/>
      <c r="Q8" s="25" t="s">
        <v>141</v>
      </c>
      <c r="R8" s="78"/>
      <c r="T8" s="111" t="s">
        <v>140</v>
      </c>
      <c r="U8" s="116"/>
      <c r="V8" s="113"/>
      <c r="W8" s="111" t="s">
        <v>141</v>
      </c>
      <c r="X8" s="117"/>
      <c r="Z8" s="25" t="s">
        <v>140</v>
      </c>
      <c r="AA8" s="28"/>
      <c r="AB8" s="37"/>
      <c r="AC8" s="25" t="s">
        <v>141</v>
      </c>
      <c r="AD8" s="78"/>
      <c r="AF8" s="111" t="s">
        <v>140</v>
      </c>
      <c r="AG8" s="117"/>
      <c r="AH8" s="113"/>
      <c r="AI8" s="111" t="s">
        <v>141</v>
      </c>
      <c r="AJ8" s="117"/>
      <c r="AL8" s="22"/>
      <c r="AM8" s="23"/>
      <c r="AN8" s="40"/>
      <c r="AO8" s="22"/>
      <c r="AP8" s="23"/>
    </row>
    <row r="9" spans="2:42" ht="15">
      <c r="B9" s="465" t="s">
        <v>142</v>
      </c>
      <c r="C9" s="468"/>
      <c r="D9" s="464"/>
      <c r="E9" s="465" t="s">
        <v>143</v>
      </c>
      <c r="F9" s="468">
        <f>+DATOS!N89</f>
        <v>749267805.8741804</v>
      </c>
      <c r="H9" s="111" t="s">
        <v>142</v>
      </c>
      <c r="I9" s="129">
        <f>+C8-I8-I16-I17-I18-I19+'PRESUPUESTOS DE VENTA  '!E13-'PRESUPUESTROS DE COMPRA'!E13-'PRESUPESTOS MOD'!D7-'PRESUPUESTOS DE CIF'!D4+'PRESUPUESTOS DE CIF'!C4-'PRESUPUESTO DE GASTOS ADMINISTR'!F6+'PRESUPUESTO DE GASTOS ADMINISTR'!E6-'PRESUPUESTO DE INVERSION'!L17-'PRESUPUESTO DE PUBLICIDAD'!C9</f>
        <v>327603505.1897257</v>
      </c>
      <c r="J9" s="113"/>
      <c r="K9" s="111" t="s">
        <v>143</v>
      </c>
      <c r="L9" s="117">
        <f>+F9-'PRESUPUESTO DE INVERSION'!M17</f>
        <v>426223458.72871894</v>
      </c>
      <c r="N9" s="25" t="s">
        <v>142</v>
      </c>
      <c r="O9" s="133">
        <f>+I9+'PRESUPUESTOS DE VENTA  '!L13-'PRESUPUESTROS DE COMPRA'!K13-'PRESUPESTOS MOD'!E7-'PRESUPUESTOS DE CIF'!D8-'PRESUPUESTO DE GASTOS ADMINISTR'!F11-'PRESUPUESTO DE PUBLICIDAD'!D9-'PRESUPUESTO DE INVERSION'!L17-BALANCE!L10+'PRESUPUESTO DE GASTOS ADMINISTR'!E11+'PRESUPUESTOS DE CIF'!C8</f>
        <v>8716950.111239742</v>
      </c>
      <c r="P9" s="37"/>
      <c r="Q9" s="25" t="s">
        <v>143</v>
      </c>
      <c r="R9" s="78">
        <f>+L9-'PRESUPUESTO DE INVERSION'!M29</f>
        <v>0</v>
      </c>
      <c r="T9" s="111" t="s">
        <v>142</v>
      </c>
      <c r="U9" s="133">
        <f>+O9-R10+'PRESUPUESTOS DE VENTA  '!S3-'PRESUPUESTROS DE COMPRA'!Q3-'PRESUPESTOS MOD'!F7-'PRESUPUESTOS DE CIF'!A12-'PRESUPUESTO DE GASTOS ADMINISTR'!B16-'PRESUPUESTO DE PUBLICIDAD'!E9</f>
        <v>175971215.97816953</v>
      </c>
      <c r="V9" s="113"/>
      <c r="W9" s="111" t="s">
        <v>143</v>
      </c>
      <c r="X9" s="117">
        <f>+R9-'PRESUPUESTO DE INVERSION'!M41</f>
        <v>0</v>
      </c>
      <c r="Z9" s="25" t="s">
        <v>142</v>
      </c>
      <c r="AA9" s="36">
        <f>+U9-X10+'PRESUPUESTOS DE VENTA  '!Z3-'PRESUPUESTROS DE COMPRA'!W3-'PRESUPESTOS MOD'!G7-'PRESUPUESTOS DE CIF'!A16-'PRESUPUESTO DE GASTOS ADMINISTR'!B20-'PRESUPUESTO DE PUBLICIDAD'!F9</f>
        <v>339103517.1925527</v>
      </c>
      <c r="AB9" s="37"/>
      <c r="AC9" s="25" t="s">
        <v>143</v>
      </c>
      <c r="AD9" s="78">
        <f>+'PRESUPUESTO DE INVERSION'!M53-'PRESUPUESTO DE INVERSION'!M53</f>
        <v>0</v>
      </c>
      <c r="AF9" s="111" t="s">
        <v>142</v>
      </c>
      <c r="AG9" s="129">
        <f>+AA9+'EST DE RESULTADOS'!O4-'EST DE RESULTADOS'!O6-'EST DE RESULTADOS'!O8+'PRESUPUESTOS DE CIF'!C20+'PRESUPUESTO DE GASTOS ADMINISTR'!E25-BALANCE!AD10</f>
        <v>523906228.74217016</v>
      </c>
      <c r="AH9" s="113"/>
      <c r="AI9" s="111" t="s">
        <v>143</v>
      </c>
      <c r="AJ9" s="117">
        <f>+'PRESUPUESTO DE INVERSION'!S53-'PRESUPUESTO DE INVERSION'!S53</f>
        <v>0</v>
      </c>
      <c r="AL9" s="22"/>
      <c r="AM9" s="42"/>
      <c r="AN9" s="40"/>
      <c r="AO9" s="22"/>
      <c r="AP9" s="23"/>
    </row>
    <row r="10" spans="2:42" ht="15">
      <c r="B10" s="465" t="s">
        <v>144</v>
      </c>
      <c r="C10" s="468"/>
      <c r="D10" s="464"/>
      <c r="E10" s="465" t="s">
        <v>145</v>
      </c>
      <c r="F10" s="468"/>
      <c r="H10" s="111" t="s">
        <v>144</v>
      </c>
      <c r="I10" s="117"/>
      <c r="J10" s="113"/>
      <c r="K10" s="111" t="s">
        <v>145</v>
      </c>
      <c r="L10" s="117">
        <f>+'EST DE RESULTADOS'!C14</f>
        <v>-18951504.52787566</v>
      </c>
      <c r="N10" s="25" t="s">
        <v>144</v>
      </c>
      <c r="O10" s="78"/>
      <c r="P10" s="37"/>
      <c r="Q10" s="25" t="s">
        <v>145</v>
      </c>
      <c r="R10" s="78">
        <f>+'EST DE RESULTADOS'!F14</f>
        <v>23073152.34260106</v>
      </c>
      <c r="T10" s="111" t="s">
        <v>144</v>
      </c>
      <c r="U10" s="116"/>
      <c r="V10" s="113"/>
      <c r="W10" s="111" t="s">
        <v>145</v>
      </c>
      <c r="X10" s="117">
        <f>+'EST DE RESULTADOS'!I14</f>
        <v>56714018.6413683</v>
      </c>
      <c r="Z10" s="25" t="s">
        <v>144</v>
      </c>
      <c r="AA10" s="28"/>
      <c r="AB10" s="37"/>
      <c r="AC10" s="25" t="s">
        <v>145</v>
      </c>
      <c r="AD10" s="78">
        <f>+'EST DE RESULTADOS'!L14</f>
        <v>66455256.18462103</v>
      </c>
      <c r="AF10" s="111" t="s">
        <v>144</v>
      </c>
      <c r="AG10" s="117"/>
      <c r="AH10" s="113"/>
      <c r="AI10" s="111" t="s">
        <v>145</v>
      </c>
      <c r="AJ10" s="117">
        <f>+'EST DE RESULTADOS'!O14</f>
        <v>76821099.98452185</v>
      </c>
      <c r="AL10" s="22"/>
      <c r="AM10" s="23"/>
      <c r="AN10" s="40"/>
      <c r="AO10" s="22"/>
      <c r="AP10" s="23"/>
    </row>
    <row r="11" spans="2:42" ht="15">
      <c r="B11" s="465" t="s">
        <v>146</v>
      </c>
      <c r="C11" s="468"/>
      <c r="D11" s="464"/>
      <c r="E11" s="465"/>
      <c r="F11" s="467"/>
      <c r="H11" s="111" t="s">
        <v>146</v>
      </c>
      <c r="I11" s="117"/>
      <c r="J11" s="113"/>
      <c r="K11" s="111"/>
      <c r="L11" s="112"/>
      <c r="N11" s="25" t="s">
        <v>146</v>
      </c>
      <c r="O11" s="78"/>
      <c r="P11" s="37"/>
      <c r="Q11" s="25"/>
      <c r="R11" s="27"/>
      <c r="T11" s="111" t="s">
        <v>146</v>
      </c>
      <c r="U11" s="116"/>
      <c r="V11" s="113"/>
      <c r="W11" s="111"/>
      <c r="X11" s="112"/>
      <c r="Z11" s="25" t="s">
        <v>146</v>
      </c>
      <c r="AA11" s="28"/>
      <c r="AB11" s="37"/>
      <c r="AC11" s="25"/>
      <c r="AD11" s="27"/>
      <c r="AF11" s="111" t="s">
        <v>146</v>
      </c>
      <c r="AG11" s="117"/>
      <c r="AH11" s="113"/>
      <c r="AI11" s="111"/>
      <c r="AJ11" s="112"/>
      <c r="AL11" s="22"/>
      <c r="AM11" s="23"/>
      <c r="AN11" s="40"/>
      <c r="AO11" s="22"/>
      <c r="AP11" s="23"/>
    </row>
    <row r="12" spans="2:42" ht="15">
      <c r="B12" s="465" t="s">
        <v>147</v>
      </c>
      <c r="C12" s="468">
        <f>SUM(C8:C11)</f>
        <v>849267805.8741804</v>
      </c>
      <c r="D12" s="464"/>
      <c r="E12" s="465" t="s">
        <v>148</v>
      </c>
      <c r="F12" s="468">
        <f>SUM(F8:F10)</f>
        <v>749267805.8741804</v>
      </c>
      <c r="H12" s="111" t="s">
        <v>147</v>
      </c>
      <c r="I12" s="117">
        <f>SUM(I8:I11)</f>
        <v>327603505.1897257</v>
      </c>
      <c r="J12" s="113"/>
      <c r="K12" s="111" t="s">
        <v>148</v>
      </c>
      <c r="L12" s="117">
        <f>SUM(L8:L11)</f>
        <v>407271954.2008433</v>
      </c>
      <c r="N12" s="25" t="s">
        <v>147</v>
      </c>
      <c r="O12" s="133">
        <f>SUM(O8:O11)</f>
        <v>8716950.111239742</v>
      </c>
      <c r="P12" s="37"/>
      <c r="Q12" s="25" t="s">
        <v>148</v>
      </c>
      <c r="R12" s="78">
        <f>SUM(R8:R11)</f>
        <v>23073152.34260106</v>
      </c>
      <c r="T12" s="111" t="s">
        <v>147</v>
      </c>
      <c r="U12" s="118">
        <f>SUM(U8:U11)</f>
        <v>175971215.97816953</v>
      </c>
      <c r="V12" s="113"/>
      <c r="W12" s="111" t="s">
        <v>148</v>
      </c>
      <c r="X12" s="117">
        <f>SUM(X8:X11)</f>
        <v>56714018.6413683</v>
      </c>
      <c r="Z12" s="25" t="s">
        <v>147</v>
      </c>
      <c r="AA12" s="36">
        <f>SUM(AA8:AA11)</f>
        <v>339103517.1925527</v>
      </c>
      <c r="AB12" s="37"/>
      <c r="AC12" s="25" t="s">
        <v>148</v>
      </c>
      <c r="AD12" s="78">
        <f>SUM(AD8:AD11)</f>
        <v>66455256.18462103</v>
      </c>
      <c r="AF12" s="111" t="s">
        <v>147</v>
      </c>
      <c r="AG12" s="129">
        <f>SUM(AG8:AG11)</f>
        <v>523906228.74217016</v>
      </c>
      <c r="AH12" s="113"/>
      <c r="AI12" s="111" t="s">
        <v>148</v>
      </c>
      <c r="AJ12" s="117">
        <f>SUM(AJ8:AJ11)</f>
        <v>76821099.98452185</v>
      </c>
      <c r="AL12" s="22"/>
      <c r="AM12" s="42"/>
      <c r="AN12" s="40"/>
      <c r="AO12" s="22"/>
      <c r="AP12" s="23"/>
    </row>
    <row r="13" spans="2:42" ht="15">
      <c r="B13" s="465"/>
      <c r="C13" s="467"/>
      <c r="D13" s="464"/>
      <c r="E13" s="465"/>
      <c r="F13" s="468"/>
      <c r="H13" s="111"/>
      <c r="I13" s="112"/>
      <c r="J13" s="113"/>
      <c r="K13" s="111"/>
      <c r="L13" s="117"/>
      <c r="N13" s="25"/>
      <c r="O13" s="27"/>
      <c r="P13" s="37"/>
      <c r="Q13" s="25"/>
      <c r="R13" s="78"/>
      <c r="T13" s="111"/>
      <c r="U13" s="112"/>
      <c r="V13" s="113"/>
      <c r="W13" s="111"/>
      <c r="X13" s="117"/>
      <c r="Z13" s="25"/>
      <c r="AA13" s="27"/>
      <c r="AB13" s="37"/>
      <c r="AC13" s="25"/>
      <c r="AD13" s="78"/>
      <c r="AF13" s="111"/>
      <c r="AG13" s="112"/>
      <c r="AH13" s="113"/>
      <c r="AI13" s="111"/>
      <c r="AJ13" s="117"/>
      <c r="AL13" s="22"/>
      <c r="AM13" s="23"/>
      <c r="AN13" s="40"/>
      <c r="AO13" s="22"/>
      <c r="AP13" s="23"/>
    </row>
    <row r="14" spans="2:42" ht="15">
      <c r="B14" s="465" t="s">
        <v>149</v>
      </c>
      <c r="C14" s="468"/>
      <c r="D14" s="464"/>
      <c r="E14" s="465" t="s">
        <v>150</v>
      </c>
      <c r="F14" s="468"/>
      <c r="H14" s="111" t="s">
        <v>151</v>
      </c>
      <c r="I14" s="117"/>
      <c r="J14" s="113"/>
      <c r="K14" s="111" t="s">
        <v>152</v>
      </c>
      <c r="L14" s="117">
        <v>0</v>
      </c>
      <c r="N14" s="25" t="s">
        <v>151</v>
      </c>
      <c r="O14" s="78"/>
      <c r="P14" s="37"/>
      <c r="Q14" s="25" t="s">
        <v>152</v>
      </c>
      <c r="R14" s="78">
        <v>0</v>
      </c>
      <c r="T14" s="111" t="s">
        <v>151</v>
      </c>
      <c r="U14" s="116"/>
      <c r="V14" s="113"/>
      <c r="W14" s="111" t="s">
        <v>152</v>
      </c>
      <c r="X14" s="117">
        <v>0</v>
      </c>
      <c r="Z14" s="25" t="s">
        <v>151</v>
      </c>
      <c r="AA14" s="28"/>
      <c r="AB14" s="37"/>
      <c r="AC14" s="25" t="s">
        <v>152</v>
      </c>
      <c r="AD14" s="78">
        <v>0</v>
      </c>
      <c r="AF14" s="111" t="s">
        <v>151</v>
      </c>
      <c r="AG14" s="117"/>
      <c r="AH14" s="113"/>
      <c r="AI14" s="111" t="s">
        <v>152</v>
      </c>
      <c r="AJ14" s="117">
        <v>0</v>
      </c>
      <c r="AL14" s="22"/>
      <c r="AM14" s="23"/>
      <c r="AN14" s="40"/>
      <c r="AO14" s="22"/>
      <c r="AP14" s="23"/>
    </row>
    <row r="15" spans="2:42" ht="15">
      <c r="B15" s="465"/>
      <c r="C15" s="467"/>
      <c r="D15" s="464"/>
      <c r="E15" s="465" t="s">
        <v>153</v>
      </c>
      <c r="F15" s="468">
        <f>+F12+F14</f>
        <v>749267805.8741804</v>
      </c>
      <c r="H15" s="111"/>
      <c r="I15" s="112"/>
      <c r="J15" s="113"/>
      <c r="K15" s="111" t="s">
        <v>153</v>
      </c>
      <c r="L15" s="117">
        <f>+L12+L14</f>
        <v>407271954.2008433</v>
      </c>
      <c r="N15" s="25"/>
      <c r="O15" s="27"/>
      <c r="P15" s="37"/>
      <c r="Q15" s="25" t="s">
        <v>153</v>
      </c>
      <c r="R15" s="78">
        <f>+R12+R14</f>
        <v>23073152.34260106</v>
      </c>
      <c r="T15" s="111"/>
      <c r="U15" s="112"/>
      <c r="V15" s="113"/>
      <c r="W15" s="111" t="s">
        <v>153</v>
      </c>
      <c r="X15" s="117">
        <f>+X12+X14</f>
        <v>56714018.6413683</v>
      </c>
      <c r="Z15" s="25"/>
      <c r="AA15" s="27"/>
      <c r="AB15" s="37"/>
      <c r="AC15" s="25" t="s">
        <v>153</v>
      </c>
      <c r="AD15" s="78">
        <f>+AD12+AD14</f>
        <v>66455256.18462103</v>
      </c>
      <c r="AF15" s="111"/>
      <c r="AG15" s="112"/>
      <c r="AH15" s="113"/>
      <c r="AI15" s="111" t="s">
        <v>153</v>
      </c>
      <c r="AJ15" s="117">
        <f>+AJ12+AJ14</f>
        <v>76821099.98452185</v>
      </c>
      <c r="AL15" s="22"/>
      <c r="AM15" s="23"/>
      <c r="AN15" s="40"/>
      <c r="AO15" s="22"/>
      <c r="AP15" s="23"/>
    </row>
    <row r="16" spans="2:42" ht="15">
      <c r="B16" s="465" t="s">
        <v>13</v>
      </c>
      <c r="C16" s="468"/>
      <c r="D16" s="464"/>
      <c r="E16" s="465"/>
      <c r="F16" s="468"/>
      <c r="H16" s="111" t="s">
        <v>13</v>
      </c>
      <c r="I16" s="117">
        <f>+DATOS!O74</f>
        <v>8016300</v>
      </c>
      <c r="J16" s="113"/>
      <c r="K16" s="111"/>
      <c r="L16" s="117"/>
      <c r="N16" s="25" t="s">
        <v>13</v>
      </c>
      <c r="O16" s="78">
        <f>+I16</f>
        <v>8016300</v>
      </c>
      <c r="P16" s="37"/>
      <c r="Q16" s="25"/>
      <c r="R16" s="78"/>
      <c r="T16" s="111" t="s">
        <v>13</v>
      </c>
      <c r="U16" s="116">
        <f>+O16</f>
        <v>8016300</v>
      </c>
      <c r="V16" s="113"/>
      <c r="W16" s="111"/>
      <c r="X16" s="117"/>
      <c r="Z16" s="25" t="s">
        <v>13</v>
      </c>
      <c r="AA16" s="28">
        <f>+U16</f>
        <v>8016300</v>
      </c>
      <c r="AB16" s="37"/>
      <c r="AC16" s="25"/>
      <c r="AD16" s="78"/>
      <c r="AF16" s="111" t="s">
        <v>13</v>
      </c>
      <c r="AG16" s="117">
        <f>+AA16</f>
        <v>8016300</v>
      </c>
      <c r="AH16" s="113"/>
      <c r="AI16" s="111"/>
      <c r="AJ16" s="117"/>
      <c r="AL16" s="22"/>
      <c r="AM16" s="23"/>
      <c r="AN16" s="40"/>
      <c r="AO16" s="22"/>
      <c r="AP16" s="23"/>
    </row>
    <row r="17" spans="2:42" ht="15">
      <c r="B17" s="465" t="s">
        <v>12</v>
      </c>
      <c r="C17" s="468"/>
      <c r="D17" s="464"/>
      <c r="E17" s="465" t="s">
        <v>154</v>
      </c>
      <c r="F17" s="469">
        <f>+DATOS!N88</f>
        <v>100000000</v>
      </c>
      <c r="H17" s="111" t="s">
        <v>12</v>
      </c>
      <c r="I17" s="117">
        <f>+DATOS!K74</f>
        <v>69844858.5993</v>
      </c>
      <c r="J17" s="113"/>
      <c r="K17" s="111" t="s">
        <v>154</v>
      </c>
      <c r="L17" s="119">
        <f>+F17</f>
        <v>100000000</v>
      </c>
      <c r="N17" s="25" t="s">
        <v>12</v>
      </c>
      <c r="O17" s="78">
        <f>+I17</f>
        <v>69844858.5993</v>
      </c>
      <c r="P17" s="37"/>
      <c r="Q17" s="25" t="s">
        <v>154</v>
      </c>
      <c r="R17" s="79">
        <f>+L17</f>
        <v>100000000</v>
      </c>
      <c r="T17" s="111" t="s">
        <v>12</v>
      </c>
      <c r="U17" s="116">
        <f>+O17</f>
        <v>69844858.5993</v>
      </c>
      <c r="V17" s="113"/>
      <c r="W17" s="111" t="s">
        <v>154</v>
      </c>
      <c r="X17" s="119">
        <f>+R17</f>
        <v>100000000</v>
      </c>
      <c r="Z17" s="25" t="s">
        <v>12</v>
      </c>
      <c r="AA17" s="28">
        <f>+U17</f>
        <v>69844858.5993</v>
      </c>
      <c r="AB17" s="37"/>
      <c r="AC17" s="25" t="s">
        <v>154</v>
      </c>
      <c r="AD17" s="79">
        <f>+X17</f>
        <v>100000000</v>
      </c>
      <c r="AF17" s="111" t="s">
        <v>12</v>
      </c>
      <c r="AG17" s="117">
        <f>+AA17</f>
        <v>69844858.5993</v>
      </c>
      <c r="AH17" s="113"/>
      <c r="AI17" s="111" t="s">
        <v>154</v>
      </c>
      <c r="AJ17" s="119">
        <f>+AD17</f>
        <v>100000000</v>
      </c>
      <c r="AL17" s="22"/>
      <c r="AM17" s="23"/>
      <c r="AN17" s="40"/>
      <c r="AO17" s="22"/>
      <c r="AP17" s="43"/>
    </row>
    <row r="18" spans="2:42" ht="15">
      <c r="B18" s="465" t="s">
        <v>14</v>
      </c>
      <c r="C18" s="468"/>
      <c r="D18" s="464"/>
      <c r="E18" s="465"/>
      <c r="F18" s="469"/>
      <c r="H18" s="111" t="s">
        <v>14</v>
      </c>
      <c r="I18" s="117">
        <f>+DATOS!S74</f>
        <v>55000000</v>
      </c>
      <c r="J18" s="113"/>
      <c r="K18" s="111" t="s">
        <v>155</v>
      </c>
      <c r="L18" s="117">
        <f>+'EST DE RESULTADOS'!C15</f>
        <v>-38477297.07174756</v>
      </c>
      <c r="N18" s="25" t="s">
        <v>14</v>
      </c>
      <c r="O18" s="78">
        <f>+I18</f>
        <v>55000000</v>
      </c>
      <c r="P18" s="37"/>
      <c r="Q18" s="25" t="s">
        <v>173</v>
      </c>
      <c r="R18" s="78">
        <f>+L18</f>
        <v>-38477297.07174756</v>
      </c>
      <c r="T18" s="111" t="s">
        <v>14</v>
      </c>
      <c r="U18" s="116">
        <f>+O18</f>
        <v>55000000</v>
      </c>
      <c r="V18" s="113"/>
      <c r="W18" s="111" t="s">
        <v>173</v>
      </c>
      <c r="X18" s="117">
        <f>+R18+R19</f>
        <v>8368194.048078835</v>
      </c>
      <c r="Z18" s="25" t="s">
        <v>14</v>
      </c>
      <c r="AA18" s="28">
        <f>+U18</f>
        <v>55000000</v>
      </c>
      <c r="AB18" s="37"/>
      <c r="AC18" s="25" t="s">
        <v>173</v>
      </c>
      <c r="AD18" s="78">
        <f>+X18+X19</f>
        <v>123514837.95631143</v>
      </c>
      <c r="AF18" s="111" t="s">
        <v>14</v>
      </c>
      <c r="AG18" s="117">
        <f>+AA18</f>
        <v>55000000</v>
      </c>
      <c r="AH18" s="113"/>
      <c r="AI18" s="111" t="s">
        <v>173</v>
      </c>
      <c r="AJ18" s="117">
        <f>+AD18+AD19</f>
        <v>258439145.96751168</v>
      </c>
      <c r="AL18" s="22"/>
      <c r="AM18" s="23"/>
      <c r="AN18" s="40"/>
      <c r="AO18" s="22"/>
      <c r="AP18" s="23"/>
    </row>
    <row r="19" spans="2:42" ht="15">
      <c r="B19" s="465" t="s">
        <v>156</v>
      </c>
      <c r="C19" s="468"/>
      <c r="D19" s="464"/>
      <c r="E19" s="465"/>
      <c r="F19" s="469"/>
      <c r="H19" s="111" t="s">
        <v>156</v>
      </c>
      <c r="I19" s="117">
        <f>+DATOS!W74</f>
        <v>26796749</v>
      </c>
      <c r="J19" s="113"/>
      <c r="K19" s="111"/>
      <c r="L19" s="112"/>
      <c r="N19" s="25" t="s">
        <v>156</v>
      </c>
      <c r="O19" s="78">
        <f>+I19</f>
        <v>26796749</v>
      </c>
      <c r="P19" s="37"/>
      <c r="Q19" s="25" t="s">
        <v>174</v>
      </c>
      <c r="R19" s="78">
        <f>+'EST DE RESULTADOS'!F15</f>
        <v>46845491.11982639</v>
      </c>
      <c r="T19" s="111" t="s">
        <v>156</v>
      </c>
      <c r="U19" s="116">
        <f>+O19</f>
        <v>26796749</v>
      </c>
      <c r="V19" s="113"/>
      <c r="W19" s="111" t="s">
        <v>174</v>
      </c>
      <c r="X19" s="117">
        <f>+'EST DE RESULTADOS'!I15</f>
        <v>115146643.9082326</v>
      </c>
      <c r="Z19" s="25" t="s">
        <v>156</v>
      </c>
      <c r="AA19" s="28">
        <f>+U19</f>
        <v>26796749</v>
      </c>
      <c r="AB19" s="37"/>
      <c r="AC19" s="25" t="s">
        <v>174</v>
      </c>
      <c r="AD19" s="78">
        <f>+'EST DE RESULTADOS'!L15</f>
        <v>134924308.01120025</v>
      </c>
      <c r="AF19" s="111" t="s">
        <v>156</v>
      </c>
      <c r="AG19" s="117">
        <f>+AA19</f>
        <v>26796749</v>
      </c>
      <c r="AH19" s="113"/>
      <c r="AI19" s="111" t="s">
        <v>174</v>
      </c>
      <c r="AJ19" s="117">
        <f>+'EST DE RESULTADOS'!O15</f>
        <v>155970112.08978677</v>
      </c>
      <c r="AL19" s="22"/>
      <c r="AM19" s="23"/>
      <c r="AN19" s="40"/>
      <c r="AO19" s="22"/>
      <c r="AP19" s="23"/>
    </row>
    <row r="20" spans="2:42" ht="15">
      <c r="B20" s="465" t="s">
        <v>157</v>
      </c>
      <c r="C20" s="468"/>
      <c r="D20" s="464"/>
      <c r="E20" s="465" t="s">
        <v>155</v>
      </c>
      <c r="F20" s="468"/>
      <c r="H20" s="111" t="s">
        <v>157</v>
      </c>
      <c r="I20" s="117">
        <f>+DATOS!K75+DATOS!O75+DATOS!S75+DATOS!W75</f>
        <v>18466755.659930002</v>
      </c>
      <c r="J20" s="113"/>
      <c r="K20" s="111"/>
      <c r="L20" s="112"/>
      <c r="N20" s="25" t="s">
        <v>157</v>
      </c>
      <c r="O20" s="78">
        <f>+I20+'PRESUPUESTO DE GASTOS ADMINISTR'!E11+'PRESUPUESTOS DE CIF'!C8</f>
        <v>36933511.319860004</v>
      </c>
      <c r="P20" s="37"/>
      <c r="Q20" s="25"/>
      <c r="R20" s="27"/>
      <c r="T20" s="111" t="s">
        <v>157</v>
      </c>
      <c r="U20" s="116">
        <f>+O20+'PRESUPUESTO DE GASTOS ADMINISTR'!E16+'PRESUPUESTOS DE CIF'!C12</f>
        <v>55400266.97979</v>
      </c>
      <c r="V20" s="113"/>
      <c r="W20" s="111"/>
      <c r="X20" s="112"/>
      <c r="Z20" s="25" t="s">
        <v>157</v>
      </c>
      <c r="AA20" s="28">
        <f>+U20+'PRESUPUESTOS DE CIF'!C20+'PRESUPUESTO DE GASTOS ADMINISTR'!E25</f>
        <v>73867022.63972001</v>
      </c>
      <c r="AB20" s="37"/>
      <c r="AC20" s="25"/>
      <c r="AD20" s="27"/>
      <c r="AF20" s="111" t="s">
        <v>157</v>
      </c>
      <c r="AG20" s="117">
        <f>+AA20+'PRESUPUESTOS DE CIF'!C20+'PRESUPUESTO DE GASTOS ADMINISTR'!E25</f>
        <v>92333778.29965</v>
      </c>
      <c r="AH20" s="113"/>
      <c r="AI20" s="111"/>
      <c r="AJ20" s="112"/>
      <c r="AL20" s="22"/>
      <c r="AM20" s="23"/>
      <c r="AN20" s="40"/>
      <c r="AO20" s="22"/>
      <c r="AP20" s="23"/>
    </row>
    <row r="21" spans="2:42" ht="15">
      <c r="B21" s="465" t="s">
        <v>158</v>
      </c>
      <c r="C21" s="468">
        <f>SUM(C16:C17)-C20</f>
        <v>0</v>
      </c>
      <c r="D21" s="464"/>
      <c r="E21" s="465"/>
      <c r="F21" s="467"/>
      <c r="H21" s="111" t="s">
        <v>159</v>
      </c>
      <c r="I21" s="117">
        <f>+I16+I17+I18+I19-I20</f>
        <v>141191151.93937</v>
      </c>
      <c r="J21" s="113"/>
      <c r="K21" s="111"/>
      <c r="L21" s="112"/>
      <c r="N21" s="25" t="s">
        <v>159</v>
      </c>
      <c r="O21" s="78">
        <f>+O16+O17+O18+O19-O20</f>
        <v>122724396.27943999</v>
      </c>
      <c r="P21" s="37"/>
      <c r="Q21" s="25"/>
      <c r="R21" s="27"/>
      <c r="T21" s="111" t="s">
        <v>159</v>
      </c>
      <c r="U21" s="116">
        <f>+U16+U17+U18+U19-U20</f>
        <v>104257640.61951</v>
      </c>
      <c r="V21" s="113"/>
      <c r="W21" s="111"/>
      <c r="X21" s="112"/>
      <c r="Z21" s="25" t="s">
        <v>159</v>
      </c>
      <c r="AA21" s="28">
        <f>+AA16+AA17+AA18+AA19-AA20</f>
        <v>85790884.95957999</v>
      </c>
      <c r="AB21" s="37"/>
      <c r="AC21" s="25"/>
      <c r="AD21" s="27"/>
      <c r="AF21" s="111" t="s">
        <v>159</v>
      </c>
      <c r="AG21" s="117">
        <f>+AG16+AG17+AG18+AG19-AG20</f>
        <v>67324129.29965</v>
      </c>
      <c r="AH21" s="113"/>
      <c r="AI21" s="111"/>
      <c r="AJ21" s="112"/>
      <c r="AL21" s="22"/>
      <c r="AM21" s="23"/>
      <c r="AN21" s="40"/>
      <c r="AO21" s="22"/>
      <c r="AP21" s="23"/>
    </row>
    <row r="22" spans="2:42" ht="15">
      <c r="B22" s="465"/>
      <c r="C22" s="467"/>
      <c r="D22" s="464"/>
      <c r="E22" s="465" t="s">
        <v>160</v>
      </c>
      <c r="F22" s="468">
        <f>SUM(F17:F21)</f>
        <v>100000000</v>
      </c>
      <c r="H22" s="111"/>
      <c r="I22" s="112"/>
      <c r="J22" s="113"/>
      <c r="K22" s="111" t="s">
        <v>160</v>
      </c>
      <c r="L22" s="117">
        <f>SUM(L17:L21)</f>
        <v>61522702.92825244</v>
      </c>
      <c r="N22" s="25"/>
      <c r="O22" s="27"/>
      <c r="P22" s="37"/>
      <c r="Q22" s="25" t="s">
        <v>160</v>
      </c>
      <c r="R22" s="78">
        <f>SUM(R17:R21)</f>
        <v>108368194.04807884</v>
      </c>
      <c r="T22" s="111"/>
      <c r="U22" s="112"/>
      <c r="V22" s="113"/>
      <c r="W22" s="111" t="s">
        <v>160</v>
      </c>
      <c r="X22" s="117">
        <f>SUM(X17:X21)</f>
        <v>223514837.95631143</v>
      </c>
      <c r="Z22" s="25"/>
      <c r="AA22" s="27"/>
      <c r="AB22" s="37"/>
      <c r="AC22" s="25" t="s">
        <v>160</v>
      </c>
      <c r="AD22" s="78">
        <f>SUM(AD17:AD21)</f>
        <v>358439145.96751165</v>
      </c>
      <c r="AF22" s="111"/>
      <c r="AG22" s="112"/>
      <c r="AH22" s="113"/>
      <c r="AI22" s="111" t="s">
        <v>160</v>
      </c>
      <c r="AJ22" s="117">
        <f>SUM(AJ17:AJ21)</f>
        <v>514409258.0572984</v>
      </c>
      <c r="AL22" s="22"/>
      <c r="AM22" s="23"/>
      <c r="AN22" s="40"/>
      <c r="AO22" s="22"/>
      <c r="AP22" s="23"/>
    </row>
    <row r="23" spans="2:42" ht="15">
      <c r="B23" s="465" t="s">
        <v>161</v>
      </c>
      <c r="C23" s="468"/>
      <c r="D23" s="464"/>
      <c r="E23" s="465"/>
      <c r="F23" s="467"/>
      <c r="H23" s="111" t="s">
        <v>161</v>
      </c>
      <c r="I23" s="117">
        <v>0</v>
      </c>
      <c r="J23" s="113"/>
      <c r="K23" s="111"/>
      <c r="L23" s="112"/>
      <c r="N23" s="25" t="s">
        <v>161</v>
      </c>
      <c r="O23" s="78">
        <v>0</v>
      </c>
      <c r="P23" s="37"/>
      <c r="Q23" s="25"/>
      <c r="R23" s="27"/>
      <c r="T23" s="111" t="s">
        <v>161</v>
      </c>
      <c r="U23" s="116">
        <v>0</v>
      </c>
      <c r="V23" s="113"/>
      <c r="W23" s="111"/>
      <c r="X23" s="112"/>
      <c r="Z23" s="25" t="s">
        <v>161</v>
      </c>
      <c r="AA23" s="28">
        <v>0</v>
      </c>
      <c r="AB23" s="37"/>
      <c r="AC23" s="25"/>
      <c r="AD23" s="27"/>
      <c r="AF23" s="111" t="s">
        <v>161</v>
      </c>
      <c r="AG23" s="117">
        <v>0</v>
      </c>
      <c r="AH23" s="113"/>
      <c r="AI23" s="111"/>
      <c r="AJ23" s="112"/>
      <c r="AL23" s="22"/>
      <c r="AM23" s="23"/>
      <c r="AN23" s="40"/>
      <c r="AO23" s="22"/>
      <c r="AP23" s="23"/>
    </row>
    <row r="24" spans="2:42" ht="15">
      <c r="B24" s="465"/>
      <c r="C24" s="467"/>
      <c r="D24" s="464"/>
      <c r="E24" s="465"/>
      <c r="F24" s="467"/>
      <c r="H24" s="111"/>
      <c r="I24" s="112"/>
      <c r="J24" s="113"/>
      <c r="K24" s="111"/>
      <c r="L24" s="112"/>
      <c r="N24" s="25"/>
      <c r="O24" s="27"/>
      <c r="P24" s="37"/>
      <c r="Q24" s="25"/>
      <c r="R24" s="27"/>
      <c r="T24" s="111"/>
      <c r="U24" s="112"/>
      <c r="V24" s="113"/>
      <c r="W24" s="111"/>
      <c r="X24" s="112"/>
      <c r="Z24" s="25"/>
      <c r="AA24" s="27"/>
      <c r="AB24" s="37"/>
      <c r="AC24" s="25"/>
      <c r="AD24" s="27"/>
      <c r="AF24" s="111"/>
      <c r="AG24" s="112"/>
      <c r="AH24" s="113"/>
      <c r="AI24" s="111"/>
      <c r="AJ24" s="112"/>
      <c r="AL24" s="22"/>
      <c r="AM24" s="23"/>
      <c r="AN24" s="40"/>
      <c r="AO24" s="22"/>
      <c r="AP24" s="23"/>
    </row>
    <row r="25" spans="2:42" ht="15">
      <c r="B25" s="465" t="s">
        <v>162</v>
      </c>
      <c r="C25" s="468">
        <f>+C23</f>
        <v>0</v>
      </c>
      <c r="D25" s="464"/>
      <c r="E25" s="465"/>
      <c r="F25" s="467"/>
      <c r="H25" s="111" t="s">
        <v>162</v>
      </c>
      <c r="I25" s="117">
        <f>+I23</f>
        <v>0</v>
      </c>
      <c r="J25" s="113"/>
      <c r="K25" s="111"/>
      <c r="L25" s="112"/>
      <c r="N25" s="25" t="s">
        <v>162</v>
      </c>
      <c r="O25" s="78">
        <f>+O23</f>
        <v>0</v>
      </c>
      <c r="P25" s="37"/>
      <c r="Q25" s="25"/>
      <c r="R25" s="27"/>
      <c r="T25" s="111" t="s">
        <v>162</v>
      </c>
      <c r="U25" s="116">
        <f>+U23</f>
        <v>0</v>
      </c>
      <c r="V25" s="113"/>
      <c r="W25" s="111"/>
      <c r="X25" s="112"/>
      <c r="Z25" s="25" t="s">
        <v>162</v>
      </c>
      <c r="AA25" s="28">
        <f>+AA23</f>
        <v>0</v>
      </c>
      <c r="AB25" s="37"/>
      <c r="AC25" s="25"/>
      <c r="AD25" s="27"/>
      <c r="AF25" s="111" t="s">
        <v>162</v>
      </c>
      <c r="AG25" s="117">
        <f>+AG23</f>
        <v>0</v>
      </c>
      <c r="AH25" s="113"/>
      <c r="AI25" s="111"/>
      <c r="AJ25" s="112"/>
      <c r="AL25" s="22"/>
      <c r="AM25" s="23"/>
      <c r="AN25" s="40"/>
      <c r="AO25" s="22"/>
      <c r="AP25" s="23"/>
    </row>
    <row r="26" spans="2:42" ht="15">
      <c r="B26" s="465"/>
      <c r="C26" s="467"/>
      <c r="D26" s="464"/>
      <c r="E26" s="465"/>
      <c r="F26" s="467"/>
      <c r="H26" s="111"/>
      <c r="I26" s="112"/>
      <c r="J26" s="113"/>
      <c r="K26" s="111"/>
      <c r="L26" s="112"/>
      <c r="N26" s="25"/>
      <c r="O26" s="27"/>
      <c r="P26" s="37"/>
      <c r="Q26" s="25"/>
      <c r="R26" s="27"/>
      <c r="T26" s="111"/>
      <c r="U26" s="112"/>
      <c r="V26" s="113"/>
      <c r="W26" s="111"/>
      <c r="X26" s="112"/>
      <c r="Z26" s="25"/>
      <c r="AA26" s="27"/>
      <c r="AB26" s="37"/>
      <c r="AC26" s="25"/>
      <c r="AD26" s="27"/>
      <c r="AF26" s="111"/>
      <c r="AG26" s="112"/>
      <c r="AH26" s="113"/>
      <c r="AI26" s="111"/>
      <c r="AJ26" s="112"/>
      <c r="AL26" s="22"/>
      <c r="AM26" s="23"/>
      <c r="AN26" s="40"/>
      <c r="AO26" s="22"/>
      <c r="AP26" s="23"/>
    </row>
    <row r="27" spans="2:42" ht="15">
      <c r="B27" s="465" t="s">
        <v>163</v>
      </c>
      <c r="C27" s="468">
        <f>+C12+C21+C25</f>
        <v>849267805.8741804</v>
      </c>
      <c r="D27" s="464"/>
      <c r="E27" s="465" t="s">
        <v>164</v>
      </c>
      <c r="F27" s="468">
        <f>+F22+F15</f>
        <v>849267805.8741804</v>
      </c>
      <c r="H27" s="111" t="s">
        <v>163</v>
      </c>
      <c r="I27" s="126">
        <f>+I12+I21+I25</f>
        <v>468794657.1290957</v>
      </c>
      <c r="J27" s="113"/>
      <c r="K27" s="111" t="s">
        <v>164</v>
      </c>
      <c r="L27" s="126">
        <f>+L12+L22</f>
        <v>468794657.12909573</v>
      </c>
      <c r="N27" s="25" t="s">
        <v>163</v>
      </c>
      <c r="O27" s="78">
        <f>+O12+O21+O25</f>
        <v>131441346.39067973</v>
      </c>
      <c r="P27" s="37"/>
      <c r="Q27" s="25" t="s">
        <v>164</v>
      </c>
      <c r="R27" s="78">
        <f>+R15+R22</f>
        <v>131441346.3906799</v>
      </c>
      <c r="T27" s="111" t="s">
        <v>163</v>
      </c>
      <c r="U27" s="116">
        <f>+U12+U21+U25</f>
        <v>280228856.5976795</v>
      </c>
      <c r="V27" s="113"/>
      <c r="W27" s="111" t="s">
        <v>164</v>
      </c>
      <c r="X27" s="126">
        <f>+X15+X22</f>
        <v>280228856.59767973</v>
      </c>
      <c r="Z27" s="25" t="s">
        <v>163</v>
      </c>
      <c r="AA27" s="28">
        <f>+AA12+AA21+AA25</f>
        <v>424894402.1521327</v>
      </c>
      <c r="AB27" s="37"/>
      <c r="AC27" s="25" t="s">
        <v>164</v>
      </c>
      <c r="AD27" s="78">
        <f>+AD15+AD22</f>
        <v>424894402.1521327</v>
      </c>
      <c r="AF27" s="111" t="s">
        <v>163</v>
      </c>
      <c r="AG27" s="126">
        <f>+AG12+AG21+AG25</f>
        <v>591230358.0418202</v>
      </c>
      <c r="AH27" s="113"/>
      <c r="AI27" s="111" t="s">
        <v>164</v>
      </c>
      <c r="AJ27" s="126">
        <f>+AJ15+AJ22</f>
        <v>591230358.0418203</v>
      </c>
      <c r="AL27" s="22"/>
      <c r="AM27" s="23"/>
      <c r="AN27" s="40"/>
      <c r="AO27" s="22"/>
      <c r="AP27" s="23"/>
    </row>
    <row r="28" spans="2:42" ht="15.75" thickBot="1">
      <c r="B28" s="437"/>
      <c r="C28" s="438"/>
      <c r="D28" s="439"/>
      <c r="E28" s="437"/>
      <c r="F28" s="438"/>
      <c r="H28" s="120"/>
      <c r="I28" s="121"/>
      <c r="J28" s="122"/>
      <c r="K28" s="120"/>
      <c r="L28" s="121"/>
      <c r="N28" s="29"/>
      <c r="O28" s="30"/>
      <c r="P28" s="39"/>
      <c r="Q28" s="29"/>
      <c r="R28" s="30"/>
      <c r="T28" s="120"/>
      <c r="U28" s="121"/>
      <c r="V28" s="122"/>
      <c r="W28" s="120"/>
      <c r="X28" s="121"/>
      <c r="Z28" s="29"/>
      <c r="AA28" s="30"/>
      <c r="AB28" s="39"/>
      <c r="AC28" s="29"/>
      <c r="AD28" s="30"/>
      <c r="AF28" s="120"/>
      <c r="AG28" s="121"/>
      <c r="AH28" s="122"/>
      <c r="AI28" s="120"/>
      <c r="AJ28" s="121"/>
      <c r="AL28" s="22"/>
      <c r="AM28" s="23"/>
      <c r="AN28" s="40"/>
      <c r="AO28" s="22"/>
      <c r="AP28" s="23"/>
    </row>
    <row r="29" spans="2:42" ht="15">
      <c r="B29" s="22"/>
      <c r="C29" s="23"/>
      <c r="D29" s="24"/>
      <c r="E29" s="22"/>
      <c r="F29" s="23"/>
      <c r="AL29" s="44"/>
      <c r="AM29" s="44"/>
      <c r="AN29" s="44"/>
      <c r="AO29" s="44"/>
      <c r="AP29" s="44"/>
    </row>
    <row r="30" spans="2:42" ht="15" customHeight="1">
      <c r="B30" s="281"/>
      <c r="C30" s="281"/>
      <c r="D30" s="281"/>
      <c r="E30" s="281"/>
      <c r="F30" s="281"/>
      <c r="G30" s="281"/>
      <c r="H30" s="281"/>
      <c r="I30" s="281"/>
      <c r="J30" s="281"/>
      <c r="K30" s="281"/>
      <c r="L30" s="281"/>
      <c r="R30" s="24">
        <f>+R27-O27</f>
        <v>1.6391277313232422E-07</v>
      </c>
      <c r="U30" s="40">
        <f>+U27-X27</f>
        <v>0</v>
      </c>
      <c r="AL30" s="44"/>
      <c r="AM30" s="44"/>
      <c r="AN30" s="44"/>
      <c r="AO30" s="44"/>
      <c r="AP30" s="44"/>
    </row>
    <row r="31" spans="2:30" ht="15" customHeight="1">
      <c r="B31" s="281"/>
      <c r="C31" s="281"/>
      <c r="D31" s="281"/>
      <c r="E31" s="281"/>
      <c r="F31" s="281"/>
      <c r="G31" s="281"/>
      <c r="H31" s="281"/>
      <c r="I31" s="281"/>
      <c r="J31" s="281"/>
      <c r="K31" s="281"/>
      <c r="L31" s="281"/>
      <c r="AD31" s="24">
        <f>+AD27-AA27</f>
        <v>0</v>
      </c>
    </row>
    <row r="32" spans="2:12" ht="15" customHeight="1">
      <c r="B32" s="281"/>
      <c r="C32" s="281"/>
      <c r="D32" s="281"/>
      <c r="E32" s="281"/>
      <c r="F32" s="281"/>
      <c r="G32" s="281"/>
      <c r="H32" s="281"/>
      <c r="I32" s="281"/>
      <c r="J32" s="281"/>
      <c r="K32" s="281"/>
      <c r="L32" s="281"/>
    </row>
    <row r="33" spans="2:12" ht="15" customHeight="1">
      <c r="B33" s="281"/>
      <c r="C33" s="281"/>
      <c r="D33" s="281"/>
      <c r="E33" s="447"/>
      <c r="F33" s="281"/>
      <c r="G33" s="281"/>
      <c r="H33" s="281"/>
      <c r="I33" s="281"/>
      <c r="J33" s="281"/>
      <c r="K33" s="281"/>
      <c r="L33" s="281"/>
    </row>
    <row r="34" ht="15">
      <c r="F34" s="448"/>
    </row>
  </sheetData>
  <sheetProtection/>
  <mergeCells count="7">
    <mergeCell ref="N2:R2"/>
    <mergeCell ref="T2:X2"/>
    <mergeCell ref="Z2:AD2"/>
    <mergeCell ref="AF2:AJ2"/>
    <mergeCell ref="AL2:AP2"/>
    <mergeCell ref="B2:F2"/>
    <mergeCell ref="H2:L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A2:K29"/>
  <sheetViews>
    <sheetView zoomScale="60" zoomScaleNormal="60" zoomScalePageLayoutView="0" workbookViewId="0" topLeftCell="A1">
      <selection activeCell="B28" sqref="B28"/>
    </sheetView>
  </sheetViews>
  <sheetFormatPr defaultColWidth="11.421875" defaultRowHeight="15"/>
  <cols>
    <col min="1" max="1" width="45.28125" style="12" customWidth="1"/>
    <col min="2" max="2" width="23.421875" style="12" bestFit="1" customWidth="1"/>
    <col min="3" max="3" width="23.28125" style="12" bestFit="1" customWidth="1"/>
    <col min="4" max="4" width="24.00390625" style="12" bestFit="1" customWidth="1"/>
    <col min="5" max="5" width="23.7109375" style="12" bestFit="1" customWidth="1"/>
    <col min="6" max="6" width="24.140625" style="12" bestFit="1" customWidth="1"/>
    <col min="7" max="7" width="24.00390625" style="12" bestFit="1" customWidth="1"/>
    <col min="8" max="8" width="8.7109375" style="12" customWidth="1"/>
    <col min="9" max="9" width="14.28125" style="12" customWidth="1"/>
    <col min="10" max="16384" width="11.421875" style="12" customWidth="1"/>
  </cols>
  <sheetData>
    <row r="1" ht="6" customHeight="1" thickBot="1"/>
    <row r="2" spans="1:7" ht="20.25" customHeight="1">
      <c r="A2" s="665" t="s">
        <v>91</v>
      </c>
      <c r="B2" s="666"/>
      <c r="C2" s="666"/>
      <c r="D2" s="666"/>
      <c r="E2" s="666"/>
      <c r="F2" s="666"/>
      <c r="G2" s="667"/>
    </row>
    <row r="3" spans="1:11" ht="15.75" thickBot="1">
      <c r="A3" s="668"/>
      <c r="B3" s="669"/>
      <c r="C3" s="669"/>
      <c r="D3" s="669"/>
      <c r="E3" s="669"/>
      <c r="F3" s="669"/>
      <c r="G3" s="670"/>
      <c r="I3" s="638"/>
      <c r="J3" s="638"/>
      <c r="K3" s="638"/>
    </row>
    <row r="4" spans="1:11" ht="15.75" thickBot="1">
      <c r="A4" s="275" t="s">
        <v>112</v>
      </c>
      <c r="B4" s="276" t="s">
        <v>113</v>
      </c>
      <c r="C4" s="276" t="s">
        <v>114</v>
      </c>
      <c r="D4" s="276" t="s">
        <v>115</v>
      </c>
      <c r="E4" s="276" t="s">
        <v>116</v>
      </c>
      <c r="F4" s="276" t="s">
        <v>117</v>
      </c>
      <c r="G4" s="277" t="s">
        <v>118</v>
      </c>
      <c r="I4" s="638"/>
      <c r="J4" s="638"/>
      <c r="K4" s="638"/>
    </row>
    <row r="5" spans="1:11" ht="15">
      <c r="A5" s="136"/>
      <c r="B5" s="149"/>
      <c r="C5" s="149"/>
      <c r="D5" s="149"/>
      <c r="E5" s="149"/>
      <c r="F5" s="149"/>
      <c r="G5" s="137"/>
      <c r="I5" s="638"/>
      <c r="J5" s="638"/>
      <c r="K5" s="638"/>
    </row>
    <row r="6" spans="1:11" ht="15">
      <c r="A6" s="278" t="s">
        <v>119</v>
      </c>
      <c r="B6" s="279"/>
      <c r="C6" s="279">
        <f>+'EST DE RESULTADOS'!C4</f>
        <v>987900000</v>
      </c>
      <c r="D6" s="279">
        <f>+'EST DE RESULTADOS'!F4</f>
        <v>1077721200</v>
      </c>
      <c r="E6" s="279">
        <f>+'EST DE RESULTADOS'!I4</f>
        <v>1173534324</v>
      </c>
      <c r="F6" s="279">
        <f>+'EST DE RESULTADOS'!L4</f>
        <v>1279902624</v>
      </c>
      <c r="G6" s="280">
        <f>+'EST DE RESULTADOS'!O4</f>
        <v>1393359552</v>
      </c>
      <c r="I6" s="638"/>
      <c r="J6" s="638"/>
      <c r="K6" s="638"/>
    </row>
    <row r="7" spans="1:11" ht="15">
      <c r="A7" s="100" t="s">
        <v>120</v>
      </c>
      <c r="B7" s="156"/>
      <c r="C7" s="156">
        <f>+'EST DE RESULTADOS'!C11</f>
        <v>0</v>
      </c>
      <c r="D7" s="156">
        <f>+'EST DE RESULTADOS'!F11</f>
        <v>0</v>
      </c>
      <c r="E7" s="156">
        <f>+'EST DE RESULTADOS'!I12</f>
        <v>0</v>
      </c>
      <c r="F7" s="156">
        <f>+'EST DE RESULTADOS'!L11</f>
        <v>0</v>
      </c>
      <c r="G7" s="139">
        <f>+'EST DE RESULTADOS'!L11</f>
        <v>0</v>
      </c>
      <c r="I7" s="638"/>
      <c r="J7" s="638"/>
      <c r="K7" s="638"/>
    </row>
    <row r="8" spans="1:11" ht="15.75" thickBot="1">
      <c r="A8" s="146"/>
      <c r="B8" s="147"/>
      <c r="C8" s="147"/>
      <c r="D8" s="147"/>
      <c r="E8" s="147"/>
      <c r="F8" s="147"/>
      <c r="G8" s="148"/>
      <c r="I8" s="638"/>
      <c r="J8" s="638"/>
      <c r="K8" s="638"/>
    </row>
    <row r="9" spans="1:11" ht="15.75" thickBot="1">
      <c r="A9" s="150" t="s">
        <v>121</v>
      </c>
      <c r="B9" s="151"/>
      <c r="C9" s="151">
        <f>SUM(C6:C8)</f>
        <v>987900000</v>
      </c>
      <c r="D9" s="151">
        <f>SUM(D6:D8)</f>
        <v>1077721200</v>
      </c>
      <c r="E9" s="151">
        <f>SUM(E6:E8)</f>
        <v>1173534324</v>
      </c>
      <c r="F9" s="151">
        <f>SUM(F6:F8)</f>
        <v>1279902624</v>
      </c>
      <c r="G9" s="152">
        <f>SUM(G6:G8)</f>
        <v>1393359552</v>
      </c>
      <c r="I9" s="638"/>
      <c r="J9" s="638"/>
      <c r="K9" s="638"/>
    </row>
    <row r="10" spans="1:11" ht="15">
      <c r="A10" s="136"/>
      <c r="B10" s="149"/>
      <c r="C10" s="149"/>
      <c r="D10" s="149"/>
      <c r="E10" s="149"/>
      <c r="F10" s="149"/>
      <c r="G10" s="137"/>
      <c r="I10" s="638"/>
      <c r="J10" s="638"/>
      <c r="K10" s="638"/>
    </row>
    <row r="11" spans="1:11" ht="15">
      <c r="A11" s="100" t="s">
        <v>195</v>
      </c>
      <c r="B11" s="156"/>
      <c r="C11" s="156">
        <f>+'PRESUPUESTROS DE COMPRA'!E13</f>
        <v>572527783.4954405</v>
      </c>
      <c r="D11" s="156">
        <f>+'PRESUPUESTROS DE COMPRA'!K13</f>
        <v>626377559.6262307</v>
      </c>
      <c r="E11" s="156">
        <f>'PRESUPUESTROS DE COMPRA'!Q13</f>
        <v>684024600</v>
      </c>
      <c r="F11" s="156">
        <f>'PRESUPUESTROS DE COMPRA'!W13</f>
        <v>748168016</v>
      </c>
      <c r="G11" s="139">
        <f>'PRESUPUESTROS DE COMPRA'!AC13</f>
        <v>816829750</v>
      </c>
      <c r="I11" s="638"/>
      <c r="J11" s="638"/>
      <c r="K11" s="638"/>
    </row>
    <row r="12" spans="1:11" ht="15">
      <c r="A12" s="100" t="s">
        <v>16</v>
      </c>
      <c r="B12" s="156"/>
      <c r="C12" s="156">
        <f>'PRESUPESTOS MOD'!D7</f>
        <v>204800459.11775994</v>
      </c>
      <c r="D12" s="156">
        <f>'PRESUPESTOS MOD'!E7</f>
        <v>213524958.67617652</v>
      </c>
      <c r="E12" s="156">
        <f>'PRESUPESTOS MOD'!F7</f>
        <v>213896622.35736507</v>
      </c>
      <c r="F12" s="156">
        <f>'PRESUPESTOS MOD'!G7</f>
        <v>223008618.46978882</v>
      </c>
      <c r="G12" s="139">
        <f>'PRESUPESTOS MOD'!H7</f>
        <v>232508785.61660182</v>
      </c>
      <c r="I12" s="638"/>
      <c r="J12" s="638"/>
      <c r="K12" s="638"/>
    </row>
    <row r="13" spans="1:11" ht="15">
      <c r="A13" s="100" t="s">
        <v>122</v>
      </c>
      <c r="B13" s="156"/>
      <c r="C13" s="156">
        <f>'PRESUPUESTO DE GASTOS ADMINISTR'!F6</f>
        <v>65982269.8</v>
      </c>
      <c r="D13" s="156">
        <f>'PRESUPUESTO DE GASTOS ADMINISTR'!F11</f>
        <v>68262269.8</v>
      </c>
      <c r="E13" s="156">
        <f>'PRESUPUESTO DE GASTOS ADMINISTR'!F16</f>
        <v>70753469.8</v>
      </c>
      <c r="F13" s="156">
        <f>'PRESUPUESTO DE GASTOS ADMINISTR'!F20</f>
        <v>73473860.2</v>
      </c>
      <c r="G13" s="139">
        <f>'PRESUPUESTO DE GASTOS ADMINISTR'!F25</f>
        <v>76443490.1776</v>
      </c>
      <c r="I13" s="638"/>
      <c r="J13" s="638"/>
      <c r="K13" s="638"/>
    </row>
    <row r="14" spans="1:11" ht="15">
      <c r="A14" s="100" t="s">
        <v>123</v>
      </c>
      <c r="B14" s="156"/>
      <c r="C14" s="156">
        <f>+'PRESUPUESTO DE PUBLICIDAD'!C9</f>
        <v>2400000</v>
      </c>
      <c r="D14" s="156">
        <f>+'PRESUPUESTO DE PUBLICIDAD'!D9</f>
        <v>2424000</v>
      </c>
      <c r="E14" s="156">
        <f>+'PRESUPUESTO DE PUBLICIDAD'!E9</f>
        <v>2448240</v>
      </c>
      <c r="F14" s="156">
        <f>+'PRESUPUESTO DE PUBLICIDAD'!F9</f>
        <v>2472722.4</v>
      </c>
      <c r="G14" s="139">
        <f>+'PRESUPUESTO DE PUBLICIDAD'!G9</f>
        <v>2497449.624</v>
      </c>
      <c r="I14" s="638"/>
      <c r="J14" s="638"/>
      <c r="K14" s="638"/>
    </row>
    <row r="15" spans="1:11" ht="15">
      <c r="A15" s="100" t="s">
        <v>124</v>
      </c>
      <c r="B15" s="156"/>
      <c r="C15" s="156">
        <f>'PRESUPUESTOS DE CIF'!D4</f>
        <v>28965141.85993</v>
      </c>
      <c r="D15" s="156">
        <f>'PRESUPUESTOS DE CIF'!D8</f>
        <v>29739732.69193</v>
      </c>
      <c r="E15" s="156">
        <f>'PRESUPUESTOS DE CIF'!D12</f>
        <v>30550729.293034</v>
      </c>
      <c r="F15" s="156">
        <f>+'PRESUPUESTOS DE CIF'!D16</f>
        <v>31399842.734389886</v>
      </c>
      <c r="G15" s="139">
        <f>+'PRESUPUESTOS DE CIF'!D20</f>
        <v>32288864.507489502</v>
      </c>
      <c r="I15" s="638"/>
      <c r="J15" s="638"/>
      <c r="K15" s="638"/>
    </row>
    <row r="16" spans="1:11" ht="15">
      <c r="A16" s="100" t="s">
        <v>125</v>
      </c>
      <c r="B16" s="156"/>
      <c r="C16" s="156">
        <f>+'EST DE RESULTADOS'!C10</f>
        <v>170653147.32649276</v>
      </c>
      <c r="D16" s="156">
        <f>'EST DE RESULTADOS'!F10</f>
        <v>67474035.74323522</v>
      </c>
      <c r="E16" s="156">
        <f>'EST DE RESULTADOS'!I10</f>
        <v>0</v>
      </c>
      <c r="F16" s="156">
        <f>+'EST DE RESULTADOS'!L10</f>
        <v>0</v>
      </c>
      <c r="G16" s="139">
        <v>0</v>
      </c>
      <c r="I16" s="638"/>
      <c r="J16" s="638"/>
      <c r="K16" s="638"/>
    </row>
    <row r="17" spans="1:11" ht="15">
      <c r="A17" s="100" t="s">
        <v>126</v>
      </c>
      <c r="B17" s="156"/>
      <c r="C17" s="156">
        <f>+'EST DE RESULTADOS'!C14</f>
        <v>-18951504.52787566</v>
      </c>
      <c r="D17" s="156">
        <f>+'EST DE RESULTADOS'!F14</f>
        <v>23073152.34260106</v>
      </c>
      <c r="E17" s="156">
        <f>+'EST DE RESULTADOS'!I14</f>
        <v>56714018.6413683</v>
      </c>
      <c r="F17" s="156">
        <f>+'EST DE RESULTADOS'!L14</f>
        <v>66455256.18462103</v>
      </c>
      <c r="G17" s="139">
        <f>'EST DE RESULTADOS'!O14</f>
        <v>76821099.98452185</v>
      </c>
      <c r="I17" s="638"/>
      <c r="J17" s="638"/>
      <c r="K17" s="638"/>
    </row>
    <row r="18" spans="1:7" ht="15">
      <c r="A18" s="100" t="s">
        <v>216</v>
      </c>
      <c r="B18" s="156">
        <f>BALANCE!F17</f>
        <v>100000000</v>
      </c>
      <c r="C18" s="156"/>
      <c r="D18" s="156"/>
      <c r="E18" s="156"/>
      <c r="F18" s="156"/>
      <c r="G18" s="139"/>
    </row>
    <row r="19" spans="1:7" ht="15.75" thickBot="1">
      <c r="A19" s="141"/>
      <c r="B19" s="157"/>
      <c r="C19" s="157"/>
      <c r="D19" s="157"/>
      <c r="E19" s="157"/>
      <c r="F19" s="157"/>
      <c r="G19" s="142"/>
    </row>
    <row r="20" spans="1:7" ht="15.75" thickBot="1">
      <c r="A20" s="153" t="s">
        <v>127</v>
      </c>
      <c r="B20" s="154">
        <f aca="true" t="shared" si="0" ref="B20:G20">SUM(B11:B19)</f>
        <v>100000000</v>
      </c>
      <c r="C20" s="154">
        <f t="shared" si="0"/>
        <v>1026377297.0717475</v>
      </c>
      <c r="D20" s="154">
        <f t="shared" si="0"/>
        <v>1030875708.8801736</v>
      </c>
      <c r="E20" s="154">
        <f t="shared" si="0"/>
        <v>1058387680.0917673</v>
      </c>
      <c r="F20" s="154">
        <f t="shared" si="0"/>
        <v>1144978315.9887998</v>
      </c>
      <c r="G20" s="155">
        <f t="shared" si="0"/>
        <v>1237389439.9102132</v>
      </c>
    </row>
    <row r="21" spans="1:7" ht="15.75" thickBot="1">
      <c r="A21" s="158"/>
      <c r="B21" s="159"/>
      <c r="C21" s="159"/>
      <c r="D21" s="159"/>
      <c r="E21" s="159"/>
      <c r="F21" s="159"/>
      <c r="G21" s="159"/>
    </row>
    <row r="22" spans="1:7" ht="15.75" thickBot="1">
      <c r="A22" s="160" t="s">
        <v>128</v>
      </c>
      <c r="B22" s="382">
        <f aca="true" t="shared" si="1" ref="B22:G22">B9-B20</f>
        <v>-100000000</v>
      </c>
      <c r="C22" s="161">
        <f t="shared" si="1"/>
        <v>-38477297.07174754</v>
      </c>
      <c r="D22" s="161">
        <f t="shared" si="1"/>
        <v>46845491.119826436</v>
      </c>
      <c r="E22" s="161">
        <f t="shared" si="1"/>
        <v>115146643.90823269</v>
      </c>
      <c r="F22" s="161">
        <f t="shared" si="1"/>
        <v>134924308.0112002</v>
      </c>
      <c r="G22" s="162">
        <f t="shared" si="1"/>
        <v>155970112.08978677</v>
      </c>
    </row>
    <row r="23" spans="1:7" ht="15.75" thickBot="1">
      <c r="A23" s="81"/>
      <c r="B23" s="81"/>
      <c r="C23" s="80"/>
      <c r="D23" s="80"/>
      <c r="E23" s="80"/>
      <c r="F23" s="80"/>
      <c r="G23" s="80"/>
    </row>
    <row r="24" spans="1:7" ht="15">
      <c r="A24" s="163" t="s">
        <v>129</v>
      </c>
      <c r="B24" s="164">
        <f>IRR(B22:G22)</f>
        <v>0.4082345438833048</v>
      </c>
      <c r="C24" s="80"/>
      <c r="D24" s="80"/>
      <c r="E24" s="80"/>
      <c r="F24" s="80"/>
      <c r="G24" s="80"/>
    </row>
    <row r="25" spans="1:7" ht="15">
      <c r="A25" s="165" t="s">
        <v>130</v>
      </c>
      <c r="B25" s="166">
        <f>NPV(DATOS!K94,'FLUJO DE CAJA'!B22,'FLUJO DE CAJA'!C22,'FLUJO DE CAJA'!D22,'FLUJO DE CAJA'!E22,'FLUJO DE CAJA'!F22,'FLUJO DE CAJA'!G22)</f>
        <v>227164212.40066794</v>
      </c>
      <c r="C25" s="459"/>
      <c r="D25" s="98"/>
      <c r="E25" s="80"/>
      <c r="F25" s="80"/>
      <c r="G25" s="80"/>
    </row>
    <row r="26" spans="1:7" ht="15">
      <c r="A26" s="167" t="s">
        <v>131</v>
      </c>
      <c r="B26" s="168">
        <f>+B27/B28</f>
        <v>1.1017635835433357</v>
      </c>
      <c r="C26" s="80"/>
      <c r="D26" s="80"/>
      <c r="E26" s="80"/>
      <c r="F26" s="80"/>
      <c r="G26" s="80"/>
    </row>
    <row r="27" spans="1:7" ht="15">
      <c r="A27" s="165" t="s">
        <v>132</v>
      </c>
      <c r="B27" s="169">
        <f>NPV(DATOS!K94,'FLUJO DE CAJA'!C9,'FLUJO DE CAJA'!D9,'FLUJO DE CAJA'!E9,'FLUJO DE CAJA'!F9,'FLUJO DE CAJA'!G9)</f>
        <v>5076837837.602939</v>
      </c>
      <c r="C27" s="426"/>
      <c r="D27" s="80"/>
      <c r="E27" s="80"/>
      <c r="F27" s="80"/>
      <c r="G27" s="80"/>
    </row>
    <row r="28" spans="1:7" ht="15.75" thickBot="1">
      <c r="A28" s="170" t="s">
        <v>133</v>
      </c>
      <c r="B28" s="171">
        <f>NPV(DATOS!K94,'FLUJO DE CAJA'!B20,'FLUJO DE CAJA'!C20,'FLUJO DE CAJA'!D20,'FLUJO DE CAJA'!E20,'FLUJO DE CAJA'!F20,'FLUJO DE CAJA'!G20)</f>
        <v>4607919442.459273</v>
      </c>
      <c r="C28" s="427"/>
      <c r="D28" s="80"/>
      <c r="E28" s="80"/>
      <c r="F28" s="80"/>
      <c r="G28" s="80"/>
    </row>
    <row r="29" spans="1:7" ht="15">
      <c r="A29" s="80"/>
      <c r="B29" s="80"/>
      <c r="C29" s="80"/>
      <c r="D29" s="80"/>
      <c r="E29" s="80"/>
      <c r="F29" s="80"/>
      <c r="G29" s="80"/>
    </row>
  </sheetData>
  <sheetProtection/>
  <mergeCells count="2">
    <mergeCell ref="A2:G3"/>
    <mergeCell ref="I3:K17"/>
  </mergeCells>
  <conditionalFormatting sqref="B18">
    <cfRule type="cellIs" priority="4" dxfId="36" operator="greaterThan" stopIfTrue="1">
      <formula>1</formula>
    </cfRule>
    <cfRule type="cellIs" priority="5" dxfId="37" operator="greaterThan" stopIfTrue="1">
      <formula>1</formula>
    </cfRule>
  </conditionalFormatting>
  <conditionalFormatting sqref="B22">
    <cfRule type="cellIs" priority="1" dxfId="36" operator="lessThan" stopIfTrue="1">
      <formula>-1</formula>
    </cfRule>
    <cfRule type="cellIs" priority="2" dxfId="36" operator="greaterThan" stopIfTrue="1">
      <formula>1</formula>
    </cfRule>
    <cfRule type="cellIs" priority="3" dxfId="37" operator="greaterThan" stopIfTrue="1">
      <formula>1</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0">
      <selection activeCell="A29" sqref="A29:K32"/>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L22"/>
  <sheetViews>
    <sheetView zoomScalePageLayoutView="0" workbookViewId="0" topLeftCell="A1">
      <selection activeCell="B11" sqref="B11:C11"/>
    </sheetView>
  </sheetViews>
  <sheetFormatPr defaultColWidth="11.421875" defaultRowHeight="15"/>
  <sheetData>
    <row r="1" spans="1:12" ht="16.5" thickBot="1">
      <c r="A1" s="1"/>
      <c r="B1" s="2"/>
      <c r="C1" s="2"/>
      <c r="D1" s="2"/>
      <c r="E1" s="2"/>
      <c r="F1" s="2"/>
      <c r="G1" s="2"/>
      <c r="H1" s="2"/>
      <c r="I1" s="2"/>
      <c r="J1" s="2"/>
      <c r="K1" s="2"/>
      <c r="L1" s="2"/>
    </row>
    <row r="2" spans="1:12" ht="16.5" thickTop="1">
      <c r="A2" s="2"/>
      <c r="B2" s="2"/>
      <c r="C2" s="2"/>
      <c r="D2" s="473" t="s">
        <v>81</v>
      </c>
      <c r="E2" s="474"/>
      <c r="F2" s="474"/>
      <c r="G2" s="474"/>
      <c r="H2" s="474"/>
      <c r="I2" s="474"/>
      <c r="J2" s="474"/>
      <c r="K2" s="475"/>
      <c r="L2" s="2"/>
    </row>
    <row r="3" spans="1:12" ht="16.5" thickBot="1">
      <c r="A3" s="2"/>
      <c r="B3" s="2"/>
      <c r="C3" s="2"/>
      <c r="D3" s="476"/>
      <c r="E3" s="477"/>
      <c r="F3" s="477"/>
      <c r="G3" s="477"/>
      <c r="H3" s="477"/>
      <c r="I3" s="477"/>
      <c r="J3" s="477"/>
      <c r="K3" s="478"/>
      <c r="L3" s="2"/>
    </row>
    <row r="4" spans="1:12" ht="16.5" thickTop="1">
      <c r="A4" s="2"/>
      <c r="B4" s="2"/>
      <c r="C4" s="2"/>
      <c r="D4" s="3"/>
      <c r="E4" s="3"/>
      <c r="F4" s="3"/>
      <c r="G4" s="3"/>
      <c r="H4" s="3"/>
      <c r="I4" s="3"/>
      <c r="J4" s="3"/>
      <c r="K4" s="3"/>
      <c r="L4" s="2"/>
    </row>
    <row r="5" spans="1:12" ht="15.75">
      <c r="A5" s="2"/>
      <c r="B5" s="2"/>
      <c r="C5" s="2"/>
      <c r="D5" s="2"/>
      <c r="E5" s="2"/>
      <c r="F5" s="2"/>
      <c r="G5" s="2"/>
      <c r="H5" s="2"/>
      <c r="I5" s="2"/>
      <c r="J5" s="2"/>
      <c r="K5" s="2"/>
      <c r="L5" s="2"/>
    </row>
    <row r="6" spans="1:12" ht="16.5" thickBot="1">
      <c r="A6" s="2"/>
      <c r="B6" s="2"/>
      <c r="C6" s="2"/>
      <c r="D6" s="2"/>
      <c r="E6" s="2"/>
      <c r="F6" s="2"/>
      <c r="G6" s="2"/>
      <c r="H6" s="2"/>
      <c r="I6" s="2"/>
      <c r="J6" s="2"/>
      <c r="K6" s="2"/>
      <c r="L6" s="2"/>
    </row>
    <row r="7" spans="1:12" ht="16.5" thickBot="1">
      <c r="A7" s="2"/>
      <c r="B7" s="479" t="s">
        <v>82</v>
      </c>
      <c r="C7" s="480"/>
      <c r="D7" s="481"/>
      <c r="E7" s="4"/>
      <c r="F7" s="479" t="s">
        <v>83</v>
      </c>
      <c r="G7" s="480"/>
      <c r="H7" s="481"/>
      <c r="I7" s="4"/>
      <c r="J7" s="482" t="s">
        <v>84</v>
      </c>
      <c r="K7" s="483"/>
      <c r="L7" s="484"/>
    </row>
    <row r="8" spans="1:12" ht="15.75">
      <c r="A8" s="2"/>
      <c r="B8" s="2"/>
      <c r="C8" s="2"/>
      <c r="D8" s="2"/>
      <c r="E8" s="2"/>
      <c r="F8" s="2"/>
      <c r="G8" s="2"/>
      <c r="H8" s="2"/>
      <c r="I8" s="2"/>
      <c r="J8" s="2"/>
      <c r="K8" s="2"/>
      <c r="L8" s="2"/>
    </row>
    <row r="9" spans="1:12" ht="15.75">
      <c r="A9" s="2"/>
      <c r="B9" s="2"/>
      <c r="C9" s="2"/>
      <c r="D9" s="2"/>
      <c r="E9" s="2"/>
      <c r="F9" s="2"/>
      <c r="G9" s="2"/>
      <c r="H9" s="2"/>
      <c r="I9" s="2"/>
      <c r="J9" s="2"/>
      <c r="K9" s="2"/>
      <c r="L9" s="2"/>
    </row>
    <row r="10" spans="1:12" ht="15.75">
      <c r="A10" s="2"/>
      <c r="B10" s="2"/>
      <c r="C10" s="2"/>
      <c r="D10" s="2"/>
      <c r="E10" s="2"/>
      <c r="F10" s="2"/>
      <c r="G10" s="2"/>
      <c r="H10" s="2"/>
      <c r="I10" s="2"/>
      <c r="J10" s="5"/>
      <c r="K10" s="6"/>
      <c r="L10" s="2"/>
    </row>
    <row r="11" spans="1:12" ht="15.75">
      <c r="A11" s="2"/>
      <c r="B11" s="472" t="s">
        <v>85</v>
      </c>
      <c r="C11" s="472"/>
      <c r="D11" s="5"/>
      <c r="E11" s="5"/>
      <c r="F11" s="471" t="s">
        <v>86</v>
      </c>
      <c r="G11" s="471"/>
      <c r="H11" s="5"/>
      <c r="I11" s="5"/>
      <c r="J11" s="8" t="s">
        <v>87</v>
      </c>
      <c r="K11" s="5"/>
      <c r="L11" s="2"/>
    </row>
    <row r="12" spans="1:12" ht="15.75">
      <c r="A12" s="2"/>
      <c r="B12" s="7" t="s">
        <v>88</v>
      </c>
      <c r="C12" s="2"/>
      <c r="D12" s="2"/>
      <c r="E12" s="2"/>
      <c r="F12" s="471" t="s">
        <v>89</v>
      </c>
      <c r="G12" s="471"/>
      <c r="H12" s="2"/>
      <c r="I12" s="2"/>
      <c r="J12" s="2"/>
      <c r="K12" s="2"/>
      <c r="L12" s="2"/>
    </row>
    <row r="13" spans="1:12" ht="15.75">
      <c r="A13" s="2"/>
      <c r="B13" s="2"/>
      <c r="C13" s="471" t="s">
        <v>90</v>
      </c>
      <c r="D13" s="471"/>
      <c r="E13" s="471"/>
      <c r="F13" s="471" t="s">
        <v>91</v>
      </c>
      <c r="G13" s="471"/>
      <c r="H13" s="2"/>
      <c r="I13" s="2"/>
      <c r="J13" s="2"/>
      <c r="K13" s="2"/>
      <c r="L13" s="2"/>
    </row>
    <row r="14" spans="1:12" ht="15.75">
      <c r="A14" s="2"/>
      <c r="B14" s="2"/>
      <c r="C14" s="471" t="s">
        <v>92</v>
      </c>
      <c r="D14" s="471"/>
      <c r="E14" s="471"/>
      <c r="F14" s="2"/>
      <c r="G14" s="2"/>
      <c r="H14" s="2"/>
      <c r="I14" s="2"/>
      <c r="J14" s="2"/>
      <c r="K14" s="2"/>
      <c r="L14" s="2"/>
    </row>
    <row r="15" spans="1:12" ht="15.75">
      <c r="A15" s="2"/>
      <c r="B15" s="2"/>
      <c r="C15" s="471" t="s">
        <v>93</v>
      </c>
      <c r="D15" s="471"/>
      <c r="E15" s="2"/>
      <c r="F15" s="2"/>
      <c r="G15" s="2"/>
      <c r="H15" s="2"/>
      <c r="I15" s="2"/>
      <c r="J15" s="2"/>
      <c r="K15" s="2"/>
      <c r="L15" s="2"/>
    </row>
    <row r="16" spans="1:12" ht="15.75">
      <c r="A16" s="2"/>
      <c r="B16" s="470" t="s">
        <v>94</v>
      </c>
      <c r="C16" s="470"/>
      <c r="D16" s="470"/>
      <c r="E16" s="470"/>
      <c r="F16" s="2"/>
      <c r="G16" s="2"/>
      <c r="H16" s="2"/>
      <c r="I16" s="2"/>
      <c r="J16" s="2"/>
      <c r="K16" s="2"/>
      <c r="L16" s="2"/>
    </row>
    <row r="17" spans="1:12" ht="15">
      <c r="A17" s="5"/>
      <c r="B17" s="9" t="s">
        <v>95</v>
      </c>
      <c r="C17" s="9"/>
      <c r="D17" s="9"/>
      <c r="E17" s="9"/>
      <c r="F17" s="5"/>
      <c r="G17" s="5"/>
      <c r="H17" s="5"/>
      <c r="I17" s="5"/>
      <c r="J17" s="5"/>
      <c r="K17" s="5"/>
      <c r="L17" s="5"/>
    </row>
    <row r="18" spans="1:12" ht="15">
      <c r="A18" s="5"/>
      <c r="B18" s="5"/>
      <c r="C18" s="5"/>
      <c r="D18" s="5"/>
      <c r="E18" s="5"/>
      <c r="F18" s="5"/>
      <c r="G18" s="5"/>
      <c r="H18" s="5"/>
      <c r="I18" s="5"/>
      <c r="J18" s="5"/>
      <c r="K18" s="5"/>
      <c r="L18" s="5"/>
    </row>
    <row r="19" spans="1:12" ht="15">
      <c r="A19" s="5"/>
      <c r="B19" s="5"/>
      <c r="C19" s="5"/>
      <c r="D19" s="5"/>
      <c r="E19" s="5"/>
      <c r="F19" s="5"/>
      <c r="G19" s="5"/>
      <c r="H19" s="5"/>
      <c r="I19" s="5"/>
      <c r="J19" s="5"/>
      <c r="K19" s="5"/>
      <c r="L19" s="5"/>
    </row>
    <row r="20" spans="1:12" ht="15">
      <c r="A20" s="5"/>
      <c r="B20" s="5"/>
      <c r="C20" s="5"/>
      <c r="D20" s="5"/>
      <c r="E20" s="5"/>
      <c r="F20" s="5"/>
      <c r="G20" s="5"/>
      <c r="H20" s="5"/>
      <c r="I20" s="5"/>
      <c r="J20" s="5"/>
      <c r="K20" s="5"/>
      <c r="L20" s="5"/>
    </row>
    <row r="21" spans="1:12" ht="15">
      <c r="A21" s="5"/>
      <c r="B21" s="5"/>
      <c r="C21" s="5"/>
      <c r="D21" s="5"/>
      <c r="E21" s="5"/>
      <c r="F21" s="5"/>
      <c r="G21" s="5"/>
      <c r="H21" s="5"/>
      <c r="I21" s="5"/>
      <c r="J21" s="5"/>
      <c r="K21" s="5"/>
      <c r="L21" s="5"/>
    </row>
    <row r="22" spans="1:12" ht="15">
      <c r="A22" s="5"/>
      <c r="B22" s="5"/>
      <c r="C22" s="5"/>
      <c r="D22" s="5"/>
      <c r="E22" s="5"/>
      <c r="F22" s="5"/>
      <c r="G22" s="5"/>
      <c r="H22" s="5"/>
      <c r="I22" s="5"/>
      <c r="J22" s="5"/>
      <c r="K22" s="5"/>
      <c r="L22" s="5"/>
    </row>
  </sheetData>
  <sheetProtection password="CF7A" sheet="1"/>
  <mergeCells count="12">
    <mergeCell ref="D2:K3"/>
    <mergeCell ref="B7:D7"/>
    <mergeCell ref="F7:H7"/>
    <mergeCell ref="J7:L7"/>
    <mergeCell ref="B16:E16"/>
    <mergeCell ref="F11:G11"/>
    <mergeCell ref="F12:G12"/>
    <mergeCell ref="F13:G13"/>
    <mergeCell ref="B11:C11"/>
    <mergeCell ref="C13:E13"/>
    <mergeCell ref="C14:E14"/>
    <mergeCell ref="C15:D15"/>
  </mergeCells>
  <hyperlinks>
    <hyperlink ref="B7:D7" location="'PRESUPUESTO MAESTRO'!A1" display="PRESUPUESTO DE OPERACIÓN"/>
    <hyperlink ref="F7:H7" location="'PRESUPUESTO MAESTRO'!A1" display="PRESUPUESTO FINANCIERO"/>
    <hyperlink ref="J7:L7" location="'PRESUPUESTO MAESTRO'!A1" display="PRESUPUESTO DE INVERSIONES DE CAPITAL"/>
    <hyperlink ref="B11" location="PRESUPUESTO!A1" display="PRESUPUESTO DE VENTAS"/>
    <hyperlink ref="B12" location="PRESUPUESTO!I28" display="PRESUPUESTO DE PRODUCCION"/>
    <hyperlink ref="C13" location="PRESUPUESTO!F1" display="PRESUPUESTO DE COMPRAS"/>
    <hyperlink ref="C14" location="PRESUPUESTO!J1" display="PRESUPUESTO DE MO"/>
    <hyperlink ref="J11" location="'PRESUPUESTO DE INVERSION'!A1" display="PRESUPUESTO DE CAPITAL"/>
    <hyperlink ref="C15" location="PRESUPUESTO!N1" display="PRESUPUESTO DE CIF"/>
    <hyperlink ref="B16" location="PRESUPUESTO!T1" display="PRESUPUESTO DE GASTOS DE ADMINISTRACIÓN"/>
    <hyperlink ref="F11" location="'P Y G'' s'!A1" display="ESTADO DE RESULTADOS"/>
    <hyperlink ref="F12" location="Balances!A1" display="BALANCE GENERAL"/>
    <hyperlink ref="F13" location="'FLUJO DE CAJA'!A1" display="FLUJO DE CAJA"/>
    <hyperlink ref="B17" location="'PPTO DE PUBLICIDAD'!A1" display="PRESUPUESTO DE MERCADEO Y PUBLICIDAD"/>
    <hyperlink ref="B11:C11" location="'PRESUPUESTOS DE VENTA  '!A1" display="PRESUPUESTO DE VENTAS"/>
    <hyperlink ref="C13:E13" location="'PRESUPUESTROS DE COMPRA'!A1" display="PRESUPUESTO DE COMPRAS"/>
    <hyperlink ref="C14:E14" location="'PRESUPESTOS MOD'!A1" display="PRESUPUESTO DE MO"/>
    <hyperlink ref="C15:D15" location="'PRESUPUESTOS DE CIF'!A1" display="PRESUPUESTO DE CIF"/>
    <hyperlink ref="B16:E16" location="'PRESUPUESTO DE GASTOS ADMINISTR'!A1" display="PRESUPUESTO DE GASTOS DE ADMINISTRACIÓN"/>
    <hyperlink ref="B17:E17" location="'PRESUPUESTO DE PUBLICIDAD'!A1" display="PRESUPUESTO DE MERCADEO Y PUBLICIDAD"/>
    <hyperlink ref="F11:G11" location="'EST DE RESULTADOS'!A1" display="ESTADO DE RESULTADOS"/>
    <hyperlink ref="F12:G12" location="BALANCE!A1" display="BALANCE GENERAL"/>
    <hyperlink ref="F13:G13" location="'FLUJO DE CAJA'!A1" display="FLUJO DE CAJA"/>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FF0000"/>
  </sheetPr>
  <dimension ref="B1:AB228"/>
  <sheetViews>
    <sheetView tabSelected="1" zoomScale="60" zoomScaleNormal="60" zoomScalePageLayoutView="0" workbookViewId="0" topLeftCell="A1">
      <selection activeCell="R15" sqref="R15"/>
    </sheetView>
  </sheetViews>
  <sheetFormatPr defaultColWidth="11.421875" defaultRowHeight="15"/>
  <cols>
    <col min="1" max="1" width="1.7109375" style="49" customWidth="1"/>
    <col min="2" max="2" width="64.8515625" style="49" customWidth="1"/>
    <col min="3" max="3" width="30.00390625" style="49" customWidth="1"/>
    <col min="4" max="4" width="4.140625" style="49" customWidth="1"/>
    <col min="5" max="5" width="65.7109375" style="49" customWidth="1"/>
    <col min="6" max="6" width="26.8515625" style="49" customWidth="1"/>
    <col min="7" max="8" width="2.7109375" style="49" customWidth="1"/>
    <col min="9" max="9" width="22.140625" style="49" customWidth="1"/>
    <col min="10" max="10" width="48.28125" style="49" customWidth="1"/>
    <col min="11" max="11" width="18.7109375" style="49" customWidth="1"/>
    <col min="12" max="12" width="4.8515625" style="49" customWidth="1"/>
    <col min="13" max="13" width="23.7109375" style="49" customWidth="1"/>
    <col min="14" max="14" width="30.28125" style="49" bestFit="1" customWidth="1"/>
    <col min="15" max="15" width="27.28125" style="49" bestFit="1" customWidth="1"/>
    <col min="16" max="16" width="13.00390625" style="49" customWidth="1"/>
    <col min="17" max="17" width="15.8515625" style="49" customWidth="1"/>
    <col min="18" max="18" width="35.28125" style="49" customWidth="1"/>
    <col min="19" max="19" width="17.57421875" style="49" bestFit="1" customWidth="1"/>
    <col min="20" max="21" width="11.421875" style="49" customWidth="1"/>
    <col min="22" max="22" width="35.140625" style="49" customWidth="1"/>
    <col min="23" max="23" width="20.28125" style="49" customWidth="1"/>
    <col min="24" max="16384" width="11.421875" style="49" customWidth="1"/>
  </cols>
  <sheetData>
    <row r="1" spans="2:15" ht="55.5" customHeight="1" thickBot="1">
      <c r="B1" s="583" t="s">
        <v>219</v>
      </c>
      <c r="C1" s="584"/>
      <c r="D1" s="584"/>
      <c r="E1" s="584"/>
      <c r="F1" s="584"/>
      <c r="G1" s="584"/>
      <c r="H1" s="584"/>
      <c r="I1" s="584"/>
      <c r="J1" s="584"/>
      <c r="K1" s="584"/>
      <c r="L1" s="584"/>
      <c r="M1" s="584"/>
      <c r="N1" s="584"/>
      <c r="O1" s="585"/>
    </row>
    <row r="2" spans="2:23" ht="101.25" customHeight="1" thickBot="1">
      <c r="B2" s="574">
        <v>1</v>
      </c>
      <c r="C2" s="574"/>
      <c r="D2" s="368"/>
      <c r="E2" s="574">
        <v>2</v>
      </c>
      <c r="F2" s="574"/>
      <c r="G2" s="369"/>
      <c r="H2" s="370"/>
      <c r="I2" s="575">
        <v>3</v>
      </c>
      <c r="J2" s="575"/>
      <c r="K2" s="369"/>
      <c r="L2" s="369"/>
      <c r="M2" s="571">
        <v>4</v>
      </c>
      <c r="N2" s="571"/>
      <c r="O2" s="571"/>
      <c r="P2" s="369"/>
      <c r="Q2" s="571">
        <v>5</v>
      </c>
      <c r="R2" s="571"/>
      <c r="S2" s="571"/>
      <c r="T2" s="369"/>
      <c r="U2" s="571">
        <v>6</v>
      </c>
      <c r="V2" s="571"/>
      <c r="W2" s="571"/>
    </row>
    <row r="3" spans="2:15" s="83" customFormat="1" ht="13.5" thickBot="1">
      <c r="B3" s="556" t="s">
        <v>220</v>
      </c>
      <c r="C3" s="558"/>
      <c r="E3" s="556" t="s">
        <v>243</v>
      </c>
      <c r="F3" s="558"/>
      <c r="I3" s="493" t="s">
        <v>248</v>
      </c>
      <c r="J3" s="494"/>
      <c r="K3" s="495"/>
      <c r="M3" s="556" t="s">
        <v>249</v>
      </c>
      <c r="N3" s="557"/>
      <c r="O3" s="558"/>
    </row>
    <row r="4" spans="2:15" ht="16.5" thickBot="1">
      <c r="B4" s="356" t="s">
        <v>221</v>
      </c>
      <c r="C4" s="397" t="s">
        <v>263</v>
      </c>
      <c r="E4" s="402" t="str">
        <f>C4</f>
        <v>cocina estandar  2 Mt2</v>
      </c>
      <c r="F4" s="410">
        <v>267</v>
      </c>
      <c r="I4" s="491" t="s">
        <v>189</v>
      </c>
      <c r="J4" s="492"/>
      <c r="K4" s="92">
        <f>150000*12</f>
        <v>1800000</v>
      </c>
      <c r="M4" s="592" t="s">
        <v>205</v>
      </c>
      <c r="N4" s="593"/>
      <c r="O4" s="326">
        <f>5000000*12</f>
        <v>60000000</v>
      </c>
    </row>
    <row r="5" spans="2:11" ht="16.5" thickBot="1">
      <c r="B5" s="356" t="s">
        <v>222</v>
      </c>
      <c r="C5" s="398"/>
      <c r="E5" s="339">
        <f aca="true" t="shared" si="0" ref="E5:E13">C5</f>
        <v>0</v>
      </c>
      <c r="F5" s="411"/>
      <c r="I5" s="489" t="s">
        <v>190</v>
      </c>
      <c r="J5" s="490"/>
      <c r="K5" s="92">
        <f>500000*12</f>
        <v>6000000</v>
      </c>
    </row>
    <row r="6" spans="2:15" ht="16.5" thickBot="1">
      <c r="B6" s="356" t="s">
        <v>223</v>
      </c>
      <c r="C6" s="398"/>
      <c r="E6" s="339">
        <f t="shared" si="0"/>
        <v>0</v>
      </c>
      <c r="F6" s="411"/>
      <c r="I6" s="489" t="s">
        <v>191</v>
      </c>
      <c r="J6" s="490"/>
      <c r="K6" s="92">
        <f>176000*12</f>
        <v>2112000</v>
      </c>
      <c r="M6" s="493" t="s">
        <v>256</v>
      </c>
      <c r="N6" s="494"/>
      <c r="O6" s="495"/>
    </row>
    <row r="7" spans="2:15" ht="15.75">
      <c r="B7" s="356" t="s">
        <v>224</v>
      </c>
      <c r="C7" s="398"/>
      <c r="E7" s="339">
        <f t="shared" si="0"/>
        <v>0</v>
      </c>
      <c r="F7" s="411"/>
      <c r="I7" s="489" t="s">
        <v>192</v>
      </c>
      <c r="J7" s="490"/>
      <c r="K7" s="92">
        <f>(75796*3)*12</f>
        <v>2728656</v>
      </c>
      <c r="M7" s="491" t="s">
        <v>266</v>
      </c>
      <c r="N7" s="492"/>
      <c r="O7" s="108">
        <v>3000000</v>
      </c>
    </row>
    <row r="8" spans="2:15" ht="15.75">
      <c r="B8" s="356" t="s">
        <v>225</v>
      </c>
      <c r="C8" s="398"/>
      <c r="E8" s="339">
        <f t="shared" si="0"/>
        <v>0</v>
      </c>
      <c r="F8" s="411"/>
      <c r="I8" s="561" t="s">
        <v>264</v>
      </c>
      <c r="J8" s="562"/>
      <c r="K8" s="92">
        <f>20000*12</f>
        <v>240000</v>
      </c>
      <c r="M8" s="489"/>
      <c r="N8" s="490"/>
      <c r="O8" s="92"/>
    </row>
    <row r="9" spans="2:15" ht="15.75">
      <c r="B9" s="356" t="s">
        <v>226</v>
      </c>
      <c r="C9" s="82"/>
      <c r="E9" s="339">
        <f t="shared" si="0"/>
        <v>0</v>
      </c>
      <c r="F9" s="411"/>
      <c r="I9" s="489" t="s">
        <v>265</v>
      </c>
      <c r="J9" s="490"/>
      <c r="K9" s="92">
        <v>3600000</v>
      </c>
      <c r="M9" s="489"/>
      <c r="N9" s="490"/>
      <c r="O9" s="92"/>
    </row>
    <row r="10" spans="2:15" ht="15.75">
      <c r="B10" s="356" t="s">
        <v>227</v>
      </c>
      <c r="C10" s="82"/>
      <c r="E10" s="339">
        <f t="shared" si="0"/>
        <v>0</v>
      </c>
      <c r="F10" s="411"/>
      <c r="I10" s="489"/>
      <c r="J10" s="490"/>
      <c r="K10" s="92"/>
      <c r="M10" s="487"/>
      <c r="N10" s="488"/>
      <c r="O10" s="92"/>
    </row>
    <row r="11" spans="2:15" ht="16.5" thickBot="1">
      <c r="B11" s="356" t="s">
        <v>228</v>
      </c>
      <c r="C11" s="82"/>
      <c r="E11" s="339">
        <f t="shared" si="0"/>
        <v>0</v>
      </c>
      <c r="F11" s="411"/>
      <c r="I11" s="485"/>
      <c r="J11" s="486"/>
      <c r="K11" s="82"/>
      <c r="M11" s="485"/>
      <c r="N11" s="486"/>
      <c r="O11" s="92"/>
    </row>
    <row r="12" spans="2:17" ht="16.5" thickBot="1">
      <c r="B12" s="356" t="s">
        <v>229</v>
      </c>
      <c r="C12" s="82"/>
      <c r="E12" s="339">
        <f t="shared" si="0"/>
        <v>0</v>
      </c>
      <c r="F12" s="411"/>
      <c r="I12" s="525"/>
      <c r="J12" s="526"/>
      <c r="K12" s="53"/>
      <c r="M12" s="498" t="s">
        <v>2</v>
      </c>
      <c r="N12" s="499"/>
      <c r="O12" s="89">
        <f>SUM(O7:O11)</f>
        <v>3000000</v>
      </c>
      <c r="Q12" s="94"/>
    </row>
    <row r="13" spans="2:15" ht="16.5" thickBot="1">
      <c r="B13" s="356" t="s">
        <v>230</v>
      </c>
      <c r="C13" s="82"/>
      <c r="E13" s="340">
        <f t="shared" si="0"/>
        <v>0</v>
      </c>
      <c r="F13" s="412"/>
      <c r="I13" s="49" t="s">
        <v>2</v>
      </c>
      <c r="K13" s="90">
        <f>SUM(K4:K12)</f>
        <v>16480656</v>
      </c>
      <c r="M13" s="496" t="s">
        <v>260</v>
      </c>
      <c r="N13" s="497"/>
      <c r="O13" s="89">
        <v>0</v>
      </c>
    </row>
    <row r="14" spans="2:15" ht="15.75">
      <c r="B14" s="356" t="s">
        <v>231</v>
      </c>
      <c r="C14" s="82"/>
      <c r="D14" s="105"/>
      <c r="E14" s="335"/>
      <c r="F14" s="336"/>
      <c r="G14" s="105"/>
      <c r="H14" s="105"/>
      <c r="I14" s="105"/>
      <c r="J14" s="105"/>
      <c r="K14" s="337"/>
      <c r="M14" s="94"/>
      <c r="N14" s="94"/>
      <c r="O14" s="94"/>
    </row>
    <row r="15" spans="2:11" s="94" customFormat="1" ht="15.75">
      <c r="B15" s="356" t="s">
        <v>232</v>
      </c>
      <c r="C15" s="82"/>
      <c r="D15" s="259"/>
      <c r="E15" s="335"/>
      <c r="F15" s="336"/>
      <c r="G15" s="259"/>
      <c r="H15" s="259"/>
      <c r="I15" s="259"/>
      <c r="J15" s="259"/>
      <c r="K15" s="337"/>
    </row>
    <row r="16" spans="2:11" s="94" customFormat="1" ht="15.75">
      <c r="B16" s="356" t="s">
        <v>233</v>
      </c>
      <c r="C16" s="82"/>
      <c r="D16" s="259"/>
      <c r="E16" s="385"/>
      <c r="F16" s="336"/>
      <c r="G16" s="259"/>
      <c r="H16" s="259"/>
      <c r="I16" s="259"/>
      <c r="J16" s="259"/>
      <c r="K16" s="337"/>
    </row>
    <row r="17" spans="2:11" s="94" customFormat="1" ht="16.5" thickBot="1">
      <c r="B17" s="383" t="s">
        <v>234</v>
      </c>
      <c r="C17" s="53"/>
      <c r="D17" s="259"/>
      <c r="E17" s="335"/>
      <c r="F17" s="336"/>
      <c r="G17" s="259"/>
      <c r="H17" s="259"/>
      <c r="I17" s="259"/>
      <c r="J17" s="259"/>
      <c r="K17" s="337"/>
    </row>
    <row r="18" spans="2:15" ht="16.5" thickBot="1">
      <c r="B18" s="386"/>
      <c r="C18" s="259"/>
      <c r="D18" s="105"/>
      <c r="E18" s="105"/>
      <c r="F18" s="105"/>
      <c r="G18" s="105"/>
      <c r="H18" s="105"/>
      <c r="I18" s="105"/>
      <c r="J18" s="105"/>
      <c r="K18" s="105"/>
      <c r="M18" s="83"/>
      <c r="N18" s="83"/>
      <c r="O18" s="83"/>
    </row>
    <row r="19" spans="2:17" s="83" customFormat="1" ht="16.5" thickBot="1">
      <c r="B19" s="567" t="s">
        <v>207</v>
      </c>
      <c r="C19" s="568"/>
      <c r="E19" s="565" t="s">
        <v>212</v>
      </c>
      <c r="F19" s="566"/>
      <c r="I19" s="594" t="s">
        <v>214</v>
      </c>
      <c r="J19" s="595"/>
      <c r="K19" s="596"/>
      <c r="M19" s="94"/>
      <c r="N19" s="94"/>
      <c r="O19" s="94"/>
      <c r="Q19" s="83" t="s">
        <v>193</v>
      </c>
    </row>
    <row r="20" spans="2:15" ht="15.75">
      <c r="B20" s="388" t="s">
        <v>235</v>
      </c>
      <c r="C20" s="387">
        <v>0.044</v>
      </c>
      <c r="E20" s="348" t="str">
        <f aca="true" t="shared" si="1" ref="E20:E29">E4</f>
        <v>cocina estandar  2 Mt2</v>
      </c>
      <c r="F20" s="345">
        <v>3700000</v>
      </c>
      <c r="I20" s="563" t="s">
        <v>4</v>
      </c>
      <c r="J20" s="564"/>
      <c r="K20" s="350">
        <v>0.047</v>
      </c>
      <c r="M20" s="94"/>
      <c r="N20" s="94"/>
      <c r="O20" s="94"/>
    </row>
    <row r="21" spans="2:15" ht="15.75">
      <c r="B21" s="388" t="s">
        <v>236</v>
      </c>
      <c r="C21" s="342">
        <v>0.044</v>
      </c>
      <c r="E21" s="346">
        <f t="shared" si="1"/>
        <v>0</v>
      </c>
      <c r="F21" s="92"/>
      <c r="I21" s="559" t="s">
        <v>5</v>
      </c>
      <c r="J21" s="560"/>
      <c r="K21" s="351">
        <v>0.047</v>
      </c>
      <c r="M21" s="94"/>
      <c r="N21" s="94"/>
      <c r="O21" s="94"/>
    </row>
    <row r="22" spans="2:15" ht="15.75">
      <c r="B22" s="388" t="s">
        <v>237</v>
      </c>
      <c r="C22" s="342">
        <v>0.044</v>
      </c>
      <c r="E22" s="346">
        <f t="shared" si="1"/>
        <v>0</v>
      </c>
      <c r="F22" s="92"/>
      <c r="I22" s="559" t="s">
        <v>6</v>
      </c>
      <c r="J22" s="560"/>
      <c r="K22" s="351">
        <v>0.047</v>
      </c>
      <c r="M22" s="94"/>
      <c r="N22" s="94"/>
      <c r="O22" s="94"/>
    </row>
    <row r="23" spans="2:15" ht="16.5" thickBot="1">
      <c r="B23" s="389" t="s">
        <v>238</v>
      </c>
      <c r="C23" s="343">
        <v>0.044</v>
      </c>
      <c r="E23" s="346">
        <f t="shared" si="1"/>
        <v>0</v>
      </c>
      <c r="F23" s="403"/>
      <c r="I23" s="547" t="s">
        <v>7</v>
      </c>
      <c r="J23" s="548"/>
      <c r="K23" s="352">
        <v>0.047</v>
      </c>
      <c r="M23" s="94"/>
      <c r="N23" s="94"/>
      <c r="O23" s="94"/>
    </row>
    <row r="24" spans="2:15" ht="16.5" thickBot="1">
      <c r="B24" s="94"/>
      <c r="C24" s="94"/>
      <c r="E24" s="346">
        <f t="shared" si="1"/>
        <v>0</v>
      </c>
      <c r="F24" s="403"/>
      <c r="M24" s="94"/>
      <c r="N24" s="94"/>
      <c r="O24" s="94"/>
    </row>
    <row r="25" spans="2:15" ht="16.5" thickBot="1">
      <c r="B25" s="551" t="s">
        <v>208</v>
      </c>
      <c r="C25" s="552"/>
      <c r="E25" s="346">
        <f t="shared" si="1"/>
        <v>0</v>
      </c>
      <c r="F25" s="403"/>
      <c r="I25" s="545" t="s">
        <v>210</v>
      </c>
      <c r="J25" s="546"/>
      <c r="K25" s="353">
        <v>0</v>
      </c>
      <c r="M25" s="94"/>
      <c r="N25" s="94"/>
      <c r="O25" s="94"/>
    </row>
    <row r="26" spans="2:15" ht="15.75">
      <c r="B26" s="433" t="s">
        <v>239</v>
      </c>
      <c r="C26" s="453">
        <v>0.044</v>
      </c>
      <c r="E26" s="346">
        <f t="shared" si="1"/>
        <v>0</v>
      </c>
      <c r="F26" s="403"/>
      <c r="I26" s="348" t="s">
        <v>8</v>
      </c>
      <c r="J26" s="349"/>
      <c r="K26" s="350">
        <v>0.047</v>
      </c>
      <c r="M26" s="83"/>
      <c r="N26" s="83"/>
      <c r="O26" s="83"/>
    </row>
    <row r="27" spans="2:15" ht="15.75">
      <c r="B27" s="434" t="s">
        <v>240</v>
      </c>
      <c r="C27" s="454">
        <v>0.044</v>
      </c>
      <c r="E27" s="346">
        <f t="shared" si="1"/>
        <v>0</v>
      </c>
      <c r="F27" s="403"/>
      <c r="I27" s="346" t="s">
        <v>9</v>
      </c>
      <c r="J27" s="344"/>
      <c r="K27" s="351">
        <v>0.047</v>
      </c>
      <c r="M27" s="94"/>
      <c r="N27" s="94"/>
      <c r="O27" s="94"/>
    </row>
    <row r="28" spans="2:15" ht="15.75">
      <c r="B28" s="434" t="s">
        <v>241</v>
      </c>
      <c r="C28" s="454">
        <v>0.044</v>
      </c>
      <c r="E28" s="346">
        <f t="shared" si="1"/>
        <v>0</v>
      </c>
      <c r="F28" s="403"/>
      <c r="I28" s="346" t="s">
        <v>10</v>
      </c>
      <c r="J28" s="344"/>
      <c r="K28" s="351">
        <v>0.047</v>
      </c>
      <c r="M28" s="94"/>
      <c r="N28" s="94"/>
      <c r="O28" s="94"/>
    </row>
    <row r="29" spans="2:11" ht="16.5" thickBot="1">
      <c r="B29" s="435" t="s">
        <v>242</v>
      </c>
      <c r="C29" s="455">
        <v>0.044</v>
      </c>
      <c r="E29" s="347">
        <f t="shared" si="1"/>
        <v>0</v>
      </c>
      <c r="F29" s="404"/>
      <c r="I29" s="547" t="s">
        <v>11</v>
      </c>
      <c r="J29" s="548"/>
      <c r="K29" s="352">
        <v>0.047</v>
      </c>
    </row>
    <row r="30" spans="2:3" ht="15.75">
      <c r="B30" s="94"/>
      <c r="C30" s="94"/>
    </row>
    <row r="31" spans="2:6" ht="16.5" thickBot="1">
      <c r="B31" s="94"/>
      <c r="C31" s="94"/>
      <c r="F31" s="61"/>
    </row>
    <row r="32" spans="2:23" s="83" customFormat="1" ht="13.5" thickBot="1">
      <c r="B32" s="549" t="str">
        <f>+C4</f>
        <v>cocina estandar  2 Mt2</v>
      </c>
      <c r="C32" s="550"/>
      <c r="E32" s="493" t="s">
        <v>209</v>
      </c>
      <c r="F32" s="495"/>
      <c r="I32" s="553" t="s">
        <v>12</v>
      </c>
      <c r="J32" s="554"/>
      <c r="K32" s="555"/>
      <c r="M32" s="556" t="s">
        <v>13</v>
      </c>
      <c r="N32" s="557"/>
      <c r="O32" s="558"/>
      <c r="Q32" s="493" t="s">
        <v>14</v>
      </c>
      <c r="R32" s="494"/>
      <c r="S32" s="495"/>
      <c r="U32" s="493" t="s">
        <v>15</v>
      </c>
      <c r="V32" s="494"/>
      <c r="W32" s="495"/>
    </row>
    <row r="33" spans="2:23" ht="18" customHeight="1">
      <c r="B33" s="392" t="s">
        <v>199</v>
      </c>
      <c r="C33" s="393" t="s">
        <v>183</v>
      </c>
      <c r="E33" s="388" t="s">
        <v>250</v>
      </c>
      <c r="F33" s="387">
        <v>0.047</v>
      </c>
      <c r="I33" s="539" t="s">
        <v>315</v>
      </c>
      <c r="J33" s="540"/>
      <c r="K33" s="103">
        <v>758000</v>
      </c>
      <c r="M33" s="541" t="s">
        <v>337</v>
      </c>
      <c r="N33" s="542"/>
      <c r="O33" s="108">
        <v>230000</v>
      </c>
      <c r="Q33" s="543" t="s">
        <v>349</v>
      </c>
      <c r="R33" s="544"/>
      <c r="S33" s="108">
        <v>55000000</v>
      </c>
      <c r="U33" s="491" t="s">
        <v>196</v>
      </c>
      <c r="V33" s="492"/>
      <c r="W33" s="108">
        <v>11199200</v>
      </c>
    </row>
    <row r="34" spans="2:23" ht="15.75">
      <c r="B34" s="50" t="s">
        <v>267</v>
      </c>
      <c r="C34" s="92">
        <v>510000</v>
      </c>
      <c r="E34" s="390" t="s">
        <v>251</v>
      </c>
      <c r="F34" s="342">
        <v>0.047</v>
      </c>
      <c r="I34" s="537" t="s">
        <v>316</v>
      </c>
      <c r="J34" s="538"/>
      <c r="K34" s="103">
        <v>3980000</v>
      </c>
      <c r="M34" s="533" t="s">
        <v>338</v>
      </c>
      <c r="N34" s="534"/>
      <c r="O34" s="92">
        <v>880000</v>
      </c>
      <c r="Q34" s="485"/>
      <c r="R34" s="486"/>
      <c r="S34" s="91"/>
      <c r="U34" s="489" t="s">
        <v>350</v>
      </c>
      <c r="V34" s="490"/>
      <c r="W34" s="92">
        <v>3840000</v>
      </c>
    </row>
    <row r="35" spans="2:23" ht="15.75">
      <c r="B35" s="50" t="s">
        <v>268</v>
      </c>
      <c r="C35" s="92">
        <v>860000</v>
      </c>
      <c r="E35" s="390" t="s">
        <v>252</v>
      </c>
      <c r="F35" s="342">
        <v>0.047</v>
      </c>
      <c r="I35" s="537" t="s">
        <v>317</v>
      </c>
      <c r="J35" s="538"/>
      <c r="K35" s="401">
        <v>3640000</v>
      </c>
      <c r="M35" s="533" t="s">
        <v>339</v>
      </c>
      <c r="N35" s="534"/>
      <c r="O35" s="92">
        <v>1600000</v>
      </c>
      <c r="Q35" s="485"/>
      <c r="R35" s="486"/>
      <c r="S35" s="92"/>
      <c r="U35" s="487" t="s">
        <v>351</v>
      </c>
      <c r="V35" s="488"/>
      <c r="W35" s="92">
        <v>2288999</v>
      </c>
    </row>
    <row r="36" spans="2:23" ht="16.5" thickBot="1">
      <c r="B36" s="50" t="s">
        <v>269</v>
      </c>
      <c r="C36" s="92">
        <v>2500</v>
      </c>
      <c r="E36" s="391" t="s">
        <v>253</v>
      </c>
      <c r="F36" s="343">
        <v>0.047</v>
      </c>
      <c r="I36" s="537" t="s">
        <v>318</v>
      </c>
      <c r="J36" s="538"/>
      <c r="K36" s="103">
        <v>360000</v>
      </c>
      <c r="M36" s="533" t="s">
        <v>340</v>
      </c>
      <c r="N36" s="534"/>
      <c r="O36" s="92">
        <v>1500000</v>
      </c>
      <c r="Q36" s="485"/>
      <c r="R36" s="486"/>
      <c r="S36" s="92"/>
      <c r="U36" s="487" t="s">
        <v>352</v>
      </c>
      <c r="V36" s="488"/>
      <c r="W36" s="92">
        <v>3500000</v>
      </c>
    </row>
    <row r="37" spans="2:23" ht="15.75">
      <c r="B37" s="50" t="s">
        <v>270</v>
      </c>
      <c r="C37" s="92">
        <v>58500</v>
      </c>
      <c r="I37" s="531" t="s">
        <v>319</v>
      </c>
      <c r="J37" s="532"/>
      <c r="K37" s="103">
        <v>165000</v>
      </c>
      <c r="M37" s="533" t="s">
        <v>341</v>
      </c>
      <c r="N37" s="534"/>
      <c r="O37" s="92">
        <v>567000</v>
      </c>
      <c r="Q37" s="485"/>
      <c r="R37" s="486"/>
      <c r="S37" s="92"/>
      <c r="U37" s="535" t="s">
        <v>353</v>
      </c>
      <c r="V37" s="536"/>
      <c r="W37" s="92">
        <v>2000000</v>
      </c>
    </row>
    <row r="38" spans="2:23" ht="16.5" thickBot="1">
      <c r="B38" s="50" t="s">
        <v>271</v>
      </c>
      <c r="C38" s="92">
        <v>14000</v>
      </c>
      <c r="I38" s="531" t="s">
        <v>320</v>
      </c>
      <c r="J38" s="532"/>
      <c r="K38" s="103">
        <v>1080000</v>
      </c>
      <c r="M38" s="533" t="s">
        <v>342</v>
      </c>
      <c r="N38" s="534"/>
      <c r="O38" s="92">
        <v>1599800</v>
      </c>
      <c r="Q38" s="485"/>
      <c r="R38" s="486"/>
      <c r="S38" s="92"/>
      <c r="U38" s="489" t="s">
        <v>354</v>
      </c>
      <c r="V38" s="490"/>
      <c r="W38" s="92">
        <v>2458550</v>
      </c>
    </row>
    <row r="39" spans="2:23" ht="16.5" thickBot="1">
      <c r="B39" s="50" t="s">
        <v>272</v>
      </c>
      <c r="C39" s="92">
        <v>60000</v>
      </c>
      <c r="E39" s="502" t="s">
        <v>244</v>
      </c>
      <c r="F39" s="503"/>
      <c r="I39" s="531" t="s">
        <v>321</v>
      </c>
      <c r="J39" s="532"/>
      <c r="K39" s="103">
        <v>227000</v>
      </c>
      <c r="M39" s="533" t="s">
        <v>343</v>
      </c>
      <c r="N39" s="534"/>
      <c r="O39" s="92">
        <v>679800</v>
      </c>
      <c r="Q39" s="485"/>
      <c r="R39" s="486"/>
      <c r="S39" s="92"/>
      <c r="U39" s="489" t="s">
        <v>355</v>
      </c>
      <c r="V39" s="490"/>
      <c r="W39" s="92">
        <v>1500000</v>
      </c>
    </row>
    <row r="40" spans="2:23" ht="15.75">
      <c r="B40" s="50" t="s">
        <v>273</v>
      </c>
      <c r="C40" s="92">
        <v>175000</v>
      </c>
      <c r="E40" s="357" t="s">
        <v>182</v>
      </c>
      <c r="F40" s="358" t="s">
        <v>17</v>
      </c>
      <c r="I40" s="531" t="s">
        <v>322</v>
      </c>
      <c r="J40" s="532"/>
      <c r="K40" s="103">
        <v>2899000</v>
      </c>
      <c r="M40" s="533" t="s">
        <v>344</v>
      </c>
      <c r="N40" s="534"/>
      <c r="O40" s="92">
        <v>229900</v>
      </c>
      <c r="Q40" s="485"/>
      <c r="R40" s="486"/>
      <c r="S40" s="92"/>
      <c r="U40" s="485"/>
      <c r="V40" s="486"/>
      <c r="W40" s="92"/>
    </row>
    <row r="41" spans="2:23" ht="15.75">
      <c r="B41" s="50" t="s">
        <v>274</v>
      </c>
      <c r="C41" s="92">
        <v>70000</v>
      </c>
      <c r="E41" s="102" t="s">
        <v>298</v>
      </c>
      <c r="F41" s="424">
        <v>28001880</v>
      </c>
      <c r="I41" s="531" t="s">
        <v>323</v>
      </c>
      <c r="J41" s="532"/>
      <c r="K41" s="103">
        <v>14610442</v>
      </c>
      <c r="M41" s="533" t="s">
        <v>345</v>
      </c>
      <c r="N41" s="534"/>
      <c r="O41" s="92">
        <v>119900</v>
      </c>
      <c r="Q41" s="485"/>
      <c r="R41" s="486"/>
      <c r="S41" s="92"/>
      <c r="U41" s="485"/>
      <c r="V41" s="486"/>
      <c r="W41" s="92"/>
    </row>
    <row r="42" spans="2:23" ht="15.75">
      <c r="B42" s="50" t="s">
        <v>275</v>
      </c>
      <c r="C42" s="92">
        <v>48.632218844984806</v>
      </c>
      <c r="E42" s="102" t="s">
        <v>299</v>
      </c>
      <c r="F42" s="424">
        <v>18667920</v>
      </c>
      <c r="I42" s="531" t="s">
        <v>324</v>
      </c>
      <c r="J42" s="532"/>
      <c r="K42" s="103">
        <v>19900000</v>
      </c>
      <c r="M42" s="533" t="s">
        <v>346</v>
      </c>
      <c r="N42" s="534"/>
      <c r="O42" s="92">
        <v>100000</v>
      </c>
      <c r="Q42" s="485"/>
      <c r="R42" s="486"/>
      <c r="S42" s="92"/>
      <c r="U42" s="485"/>
      <c r="V42" s="486"/>
      <c r="W42" s="92"/>
    </row>
    <row r="43" spans="2:23" ht="15.75">
      <c r="B43" s="50" t="s">
        <v>276</v>
      </c>
      <c r="C43" s="92">
        <v>70000</v>
      </c>
      <c r="E43" s="102" t="s">
        <v>300</v>
      </c>
      <c r="F43" s="424">
        <v>9323680</v>
      </c>
      <c r="I43" s="531" t="s">
        <v>325</v>
      </c>
      <c r="J43" s="532"/>
      <c r="K43" s="103">
        <v>6840105.7993</v>
      </c>
      <c r="M43" s="533" t="s">
        <v>347</v>
      </c>
      <c r="N43" s="534"/>
      <c r="O43" s="92">
        <v>360000</v>
      </c>
      <c r="Q43" s="485"/>
      <c r="R43" s="486"/>
      <c r="S43" s="92"/>
      <c r="U43" s="485"/>
      <c r="V43" s="486"/>
      <c r="W43" s="92"/>
    </row>
    <row r="44" spans="2:23" s="94" customFormat="1" ht="15.75">
      <c r="B44" s="50" t="s">
        <v>277</v>
      </c>
      <c r="C44" s="92">
        <v>144990</v>
      </c>
      <c r="E44" s="102" t="s">
        <v>301</v>
      </c>
      <c r="F44" s="424">
        <v>9323680</v>
      </c>
      <c r="I44" s="531" t="s">
        <v>326</v>
      </c>
      <c r="J44" s="532"/>
      <c r="K44" s="103">
        <v>4620730.8</v>
      </c>
      <c r="M44" s="601" t="s">
        <v>348</v>
      </c>
      <c r="N44" s="602"/>
      <c r="O44" s="92">
        <v>149900</v>
      </c>
      <c r="Q44" s="413"/>
      <c r="R44" s="414"/>
      <c r="S44" s="92"/>
      <c r="U44" s="413"/>
      <c r="V44" s="414"/>
      <c r="W44" s="92"/>
    </row>
    <row r="45" spans="2:23" s="94" customFormat="1" ht="15.75">
      <c r="B45" s="50" t="s">
        <v>278</v>
      </c>
      <c r="C45" s="92">
        <v>10942.24924012158</v>
      </c>
      <c r="E45" s="102" t="s">
        <v>302</v>
      </c>
      <c r="F45" s="424">
        <v>21779240</v>
      </c>
      <c r="I45" s="531" t="s">
        <v>327</v>
      </c>
      <c r="J45" s="532"/>
      <c r="K45" s="103">
        <v>2549700</v>
      </c>
      <c r="M45" s="413"/>
      <c r="N45" s="414"/>
      <c r="O45" s="92"/>
      <c r="Q45" s="413"/>
      <c r="R45" s="414"/>
      <c r="S45" s="92"/>
      <c r="U45" s="413"/>
      <c r="V45" s="414"/>
      <c r="W45" s="92"/>
    </row>
    <row r="46" spans="2:23" s="94" customFormat="1" ht="15.75">
      <c r="B46" s="50" t="s">
        <v>279</v>
      </c>
      <c r="C46" s="92">
        <v>875.3799392097264</v>
      </c>
      <c r="E46" s="102" t="s">
        <v>303</v>
      </c>
      <c r="F46" s="424">
        <v>9323680</v>
      </c>
      <c r="I46" s="531" t="s">
        <v>328</v>
      </c>
      <c r="J46" s="532"/>
      <c r="K46" s="103">
        <v>118000</v>
      </c>
      <c r="M46" s="413"/>
      <c r="N46" s="414"/>
      <c r="O46" s="92"/>
      <c r="Q46" s="413"/>
      <c r="R46" s="414"/>
      <c r="S46" s="92"/>
      <c r="U46" s="413"/>
      <c r="V46" s="414"/>
      <c r="W46" s="92"/>
    </row>
    <row r="47" spans="2:23" s="94" customFormat="1" ht="15.75">
      <c r="B47" s="50" t="s">
        <v>280</v>
      </c>
      <c r="C47" s="92">
        <v>2917.933130699088</v>
      </c>
      <c r="E47" s="102" t="s">
        <v>304</v>
      </c>
      <c r="F47" s="424">
        <v>19356960</v>
      </c>
      <c r="I47" s="531" t="s">
        <v>329</v>
      </c>
      <c r="J47" s="532"/>
      <c r="K47" s="103">
        <v>1149500</v>
      </c>
      <c r="M47" s="413"/>
      <c r="N47" s="414"/>
      <c r="O47" s="92"/>
      <c r="Q47" s="413"/>
      <c r="R47" s="414"/>
      <c r="S47" s="92"/>
      <c r="U47" s="413"/>
      <c r="V47" s="414"/>
      <c r="W47" s="92"/>
    </row>
    <row r="48" spans="2:23" s="94" customFormat="1" ht="15.75">
      <c r="B48" s="50" t="s">
        <v>281</v>
      </c>
      <c r="C48" s="92">
        <v>4668.693009118541</v>
      </c>
      <c r="E48" s="102" t="s">
        <v>305</v>
      </c>
      <c r="F48" s="424">
        <v>19356960</v>
      </c>
      <c r="I48" s="531" t="s">
        <v>330</v>
      </c>
      <c r="J48" s="532"/>
      <c r="K48" s="103">
        <v>2799000</v>
      </c>
      <c r="M48" s="413"/>
      <c r="N48" s="414"/>
      <c r="O48" s="92"/>
      <c r="Q48" s="413"/>
      <c r="R48" s="414"/>
      <c r="S48" s="92"/>
      <c r="U48" s="413"/>
      <c r="V48" s="414"/>
      <c r="W48" s="92"/>
    </row>
    <row r="49" spans="2:23" s="94" customFormat="1" ht="15.75">
      <c r="B49" s="50" t="s">
        <v>282</v>
      </c>
      <c r="C49" s="92">
        <v>5544.072948328268</v>
      </c>
      <c r="E49" s="50" t="s">
        <v>306</v>
      </c>
      <c r="F49" s="424">
        <v>12904640</v>
      </c>
      <c r="I49" s="531" t="s">
        <v>331</v>
      </c>
      <c r="J49" s="532"/>
      <c r="K49" s="103">
        <v>919000</v>
      </c>
      <c r="M49" s="413"/>
      <c r="N49" s="414"/>
      <c r="O49" s="92"/>
      <c r="Q49" s="413"/>
      <c r="R49" s="414"/>
      <c r="S49" s="92"/>
      <c r="U49" s="413"/>
      <c r="V49" s="414"/>
      <c r="W49" s="92"/>
    </row>
    <row r="50" spans="2:23" s="94" customFormat="1" ht="15.75">
      <c r="B50" s="50" t="s">
        <v>283</v>
      </c>
      <c r="C50" s="92">
        <v>2042.5531914893618</v>
      </c>
      <c r="E50" s="50" t="s">
        <v>307</v>
      </c>
      <c r="F50" s="424">
        <v>6898113.852960001</v>
      </c>
      <c r="I50" s="531" t="s">
        <v>332</v>
      </c>
      <c r="J50" s="532"/>
      <c r="K50" s="103">
        <v>831400</v>
      </c>
      <c r="M50" s="413"/>
      <c r="N50" s="414"/>
      <c r="O50" s="92"/>
      <c r="Q50" s="413"/>
      <c r="R50" s="414"/>
      <c r="S50" s="92"/>
      <c r="U50" s="413"/>
      <c r="V50" s="414"/>
      <c r="W50" s="92"/>
    </row>
    <row r="51" spans="2:23" s="94" customFormat="1" ht="15.75">
      <c r="B51" s="50" t="s">
        <v>284</v>
      </c>
      <c r="C51" s="92">
        <v>108.8145896656535</v>
      </c>
      <c r="E51" s="50" t="s">
        <v>308</v>
      </c>
      <c r="F51" s="424">
        <v>6898113.852960001</v>
      </c>
      <c r="I51" s="531" t="s">
        <v>333</v>
      </c>
      <c r="J51" s="532"/>
      <c r="K51" s="103">
        <v>699980</v>
      </c>
      <c r="M51" s="413"/>
      <c r="N51" s="414"/>
      <c r="O51" s="92"/>
      <c r="Q51" s="413"/>
      <c r="R51" s="414"/>
      <c r="S51" s="92"/>
      <c r="U51" s="413"/>
      <c r="V51" s="414"/>
      <c r="W51" s="92"/>
    </row>
    <row r="52" spans="2:23" s="94" customFormat="1" ht="15.75">
      <c r="B52" s="50" t="s">
        <v>285</v>
      </c>
      <c r="C52" s="92">
        <v>1488.145896656535</v>
      </c>
      <c r="E52" s="50" t="s">
        <v>309</v>
      </c>
      <c r="F52" s="424">
        <v>6898113.852960001</v>
      </c>
      <c r="I52" s="531" t="s">
        <v>334</v>
      </c>
      <c r="J52" s="532"/>
      <c r="K52" s="103">
        <v>1240000</v>
      </c>
      <c r="M52" s="413"/>
      <c r="N52" s="414"/>
      <c r="O52" s="92"/>
      <c r="Q52" s="413"/>
      <c r="R52" s="414"/>
      <c r="S52" s="92"/>
      <c r="U52" s="413"/>
      <c r="V52" s="414"/>
      <c r="W52" s="92"/>
    </row>
    <row r="53" spans="2:23" s="94" customFormat="1" ht="15.75">
      <c r="B53" s="50" t="s">
        <v>286</v>
      </c>
      <c r="C53" s="92">
        <v>1345.8966565349544</v>
      </c>
      <c r="E53" s="50" t="s">
        <v>310</v>
      </c>
      <c r="F53" s="424">
        <v>6898113.852960001</v>
      </c>
      <c r="I53" s="531" t="s">
        <v>335</v>
      </c>
      <c r="J53" s="532"/>
      <c r="K53" s="103">
        <v>259000</v>
      </c>
      <c r="M53" s="413"/>
      <c r="N53" s="414"/>
      <c r="O53" s="92"/>
      <c r="Q53" s="413"/>
      <c r="R53" s="414"/>
      <c r="S53" s="92"/>
      <c r="U53" s="413"/>
      <c r="V53" s="414"/>
      <c r="W53" s="92"/>
    </row>
    <row r="54" spans="2:23" s="94" customFormat="1" ht="15.75">
      <c r="B54" s="50" t="s">
        <v>287</v>
      </c>
      <c r="C54" s="92">
        <v>1739.8176291793313</v>
      </c>
      <c r="E54" s="50" t="s">
        <v>311</v>
      </c>
      <c r="F54" s="424">
        <v>6898113.852960001</v>
      </c>
      <c r="I54" s="531" t="s">
        <v>336</v>
      </c>
      <c r="J54" s="532"/>
      <c r="K54" s="103">
        <v>199000</v>
      </c>
      <c r="M54" s="413"/>
      <c r="N54" s="414"/>
      <c r="O54" s="92"/>
      <c r="Q54" s="413"/>
      <c r="R54" s="414"/>
      <c r="S54" s="92"/>
      <c r="U54" s="413"/>
      <c r="V54" s="414"/>
      <c r="W54" s="92"/>
    </row>
    <row r="55" spans="2:23" s="94" customFormat="1" ht="15.75">
      <c r="B55" s="50" t="s">
        <v>288</v>
      </c>
      <c r="C55" s="92">
        <v>86224.92401215805</v>
      </c>
      <c r="E55" s="50" t="s">
        <v>312</v>
      </c>
      <c r="F55" s="424">
        <v>6898113.852960001</v>
      </c>
      <c r="I55" s="415"/>
      <c r="J55" s="416"/>
      <c r="K55" s="103"/>
      <c r="M55" s="413"/>
      <c r="N55" s="414"/>
      <c r="O55" s="92"/>
      <c r="Q55" s="413"/>
      <c r="R55" s="414"/>
      <c r="S55" s="92"/>
      <c r="U55" s="413"/>
      <c r="V55" s="414"/>
      <c r="W55" s="92"/>
    </row>
    <row r="56" spans="2:23" s="94" customFormat="1" ht="15.75">
      <c r="B56" s="50" t="s">
        <v>289</v>
      </c>
      <c r="C56" s="92">
        <v>57483.28267477204</v>
      </c>
      <c r="E56" s="50" t="s">
        <v>313</v>
      </c>
      <c r="F56" s="424">
        <v>7686568</v>
      </c>
      <c r="I56" s="415"/>
      <c r="J56" s="416"/>
      <c r="K56" s="103"/>
      <c r="M56" s="413"/>
      <c r="N56" s="414"/>
      <c r="O56" s="92"/>
      <c r="Q56" s="413"/>
      <c r="R56" s="414"/>
      <c r="S56" s="92"/>
      <c r="U56" s="413"/>
      <c r="V56" s="414"/>
      <c r="W56" s="92"/>
    </row>
    <row r="57" spans="2:23" s="94" customFormat="1" ht="15.75">
      <c r="B57" s="50" t="s">
        <v>290</v>
      </c>
      <c r="C57" s="92">
        <v>1823.70820668693</v>
      </c>
      <c r="E57" s="50" t="s">
        <v>314</v>
      </c>
      <c r="F57" s="424">
        <v>7686568</v>
      </c>
      <c r="I57" s="415"/>
      <c r="J57" s="416"/>
      <c r="K57" s="103"/>
      <c r="M57" s="413"/>
      <c r="N57" s="414"/>
      <c r="O57" s="92"/>
      <c r="Q57" s="413"/>
      <c r="R57" s="414"/>
      <c r="S57" s="92"/>
      <c r="U57" s="413"/>
      <c r="V57" s="414"/>
      <c r="W57" s="92"/>
    </row>
    <row r="58" spans="2:23" s="94" customFormat="1" ht="15.75">
      <c r="B58" s="50" t="s">
        <v>291</v>
      </c>
      <c r="C58" s="92">
        <v>516.7173252279636</v>
      </c>
      <c r="E58" s="50"/>
      <c r="F58" s="401"/>
      <c r="I58" s="415"/>
      <c r="J58" s="416"/>
      <c r="K58" s="103"/>
      <c r="M58" s="413"/>
      <c r="N58" s="414"/>
      <c r="O58" s="92"/>
      <c r="Q58" s="413"/>
      <c r="R58" s="414"/>
      <c r="S58" s="92"/>
      <c r="U58" s="413"/>
      <c r="V58" s="414"/>
      <c r="W58" s="92"/>
    </row>
    <row r="59" spans="2:23" s="94" customFormat="1" ht="15.75">
      <c r="B59" s="50" t="s">
        <v>292</v>
      </c>
      <c r="C59" s="92">
        <v>395.1367781155015</v>
      </c>
      <c r="E59" s="50"/>
      <c r="F59" s="401"/>
      <c r="I59" s="415"/>
      <c r="J59" s="416"/>
      <c r="K59" s="103"/>
      <c r="M59" s="413"/>
      <c r="N59" s="414"/>
      <c r="O59" s="92"/>
      <c r="Q59" s="413"/>
      <c r="R59" s="414"/>
      <c r="S59" s="92"/>
      <c r="U59" s="413"/>
      <c r="V59" s="414"/>
      <c r="W59" s="92"/>
    </row>
    <row r="60" spans="2:23" s="94" customFormat="1" ht="15.75">
      <c r="B60" s="50" t="s">
        <v>293</v>
      </c>
      <c r="C60" s="92">
        <v>75.98784194528875</v>
      </c>
      <c r="E60" s="50"/>
      <c r="F60" s="401"/>
      <c r="I60" s="415"/>
      <c r="J60" s="416"/>
      <c r="K60" s="103"/>
      <c r="M60" s="413"/>
      <c r="N60" s="414"/>
      <c r="O60" s="92"/>
      <c r="Q60" s="413"/>
      <c r="R60" s="414"/>
      <c r="S60" s="92"/>
      <c r="U60" s="413"/>
      <c r="V60" s="414"/>
      <c r="W60" s="92"/>
    </row>
    <row r="61" spans="2:23" s="94" customFormat="1" ht="15.75">
      <c r="B61" s="50" t="s">
        <v>294</v>
      </c>
      <c r="C61" s="92">
        <v>121.580547112462</v>
      </c>
      <c r="E61" s="50"/>
      <c r="F61" s="401"/>
      <c r="I61" s="415"/>
      <c r="J61" s="416"/>
      <c r="K61" s="103"/>
      <c r="M61" s="413"/>
      <c r="N61" s="414"/>
      <c r="O61" s="92"/>
      <c r="Q61" s="413"/>
      <c r="R61" s="414"/>
      <c r="S61" s="92"/>
      <c r="U61" s="413"/>
      <c r="V61" s="414"/>
      <c r="W61" s="92"/>
    </row>
    <row r="62" spans="2:23" s="94" customFormat="1" ht="15.75">
      <c r="B62" s="50" t="s">
        <v>295</v>
      </c>
      <c r="C62" s="92">
        <v>123.10030395136778</v>
      </c>
      <c r="E62" s="50"/>
      <c r="F62" s="401"/>
      <c r="I62" s="415"/>
      <c r="J62" s="416"/>
      <c r="K62" s="103"/>
      <c r="M62" s="413"/>
      <c r="N62" s="414"/>
      <c r="O62" s="92"/>
      <c r="Q62" s="413"/>
      <c r="R62" s="414"/>
      <c r="S62" s="92"/>
      <c r="U62" s="413"/>
      <c r="V62" s="414"/>
      <c r="W62" s="92"/>
    </row>
    <row r="63" spans="2:23" s="94" customFormat="1" ht="15.75">
      <c r="B63" s="50" t="s">
        <v>296</v>
      </c>
      <c r="C63" s="92">
        <v>290.27355623100306</v>
      </c>
      <c r="E63" s="50"/>
      <c r="F63" s="401"/>
      <c r="I63" s="415"/>
      <c r="J63" s="416"/>
      <c r="K63" s="103"/>
      <c r="M63" s="413"/>
      <c r="N63" s="414"/>
      <c r="O63" s="92"/>
      <c r="Q63" s="413"/>
      <c r="R63" s="414"/>
      <c r="S63" s="92"/>
      <c r="U63" s="413"/>
      <c r="V63" s="414"/>
      <c r="W63" s="92"/>
    </row>
    <row r="64" spans="2:23" s="94" customFormat="1" ht="15.75">
      <c r="B64" s="50" t="s">
        <v>297</v>
      </c>
      <c r="C64" s="92">
        <v>531.9148936170212</v>
      </c>
      <c r="E64" s="50"/>
      <c r="F64" s="401"/>
      <c r="I64" s="415"/>
      <c r="J64" s="416"/>
      <c r="K64" s="103"/>
      <c r="M64" s="413"/>
      <c r="N64" s="414"/>
      <c r="O64" s="92"/>
      <c r="Q64" s="413"/>
      <c r="R64" s="414"/>
      <c r="S64" s="92"/>
      <c r="U64" s="413"/>
      <c r="V64" s="414"/>
      <c r="W64" s="92"/>
    </row>
    <row r="65" spans="2:23" ht="15.75">
      <c r="B65" s="50"/>
      <c r="C65" s="92"/>
      <c r="E65" s="50"/>
      <c r="F65" s="401"/>
      <c r="I65" s="529"/>
      <c r="J65" s="530"/>
      <c r="K65" s="103"/>
      <c r="M65" s="485"/>
      <c r="N65" s="486"/>
      <c r="O65" s="92"/>
      <c r="Q65" s="485"/>
      <c r="R65" s="486"/>
      <c r="S65" s="92"/>
      <c r="U65" s="485"/>
      <c r="V65" s="486"/>
      <c r="W65" s="92"/>
    </row>
    <row r="66" spans="2:23" ht="16.5" thickBot="1">
      <c r="B66" s="52"/>
      <c r="C66" s="93"/>
      <c r="E66" s="50"/>
      <c r="F66" s="321"/>
      <c r="I66" s="529"/>
      <c r="J66" s="530"/>
      <c r="K66" s="103"/>
      <c r="M66" s="485"/>
      <c r="N66" s="486"/>
      <c r="O66" s="92"/>
      <c r="Q66" s="485"/>
      <c r="R66" s="486"/>
      <c r="S66" s="92"/>
      <c r="U66" s="485"/>
      <c r="V66" s="486"/>
      <c r="W66" s="92"/>
    </row>
    <row r="67" spans="2:23" ht="16.5" thickBot="1">
      <c r="B67" s="54" t="s">
        <v>2</v>
      </c>
      <c r="C67" s="89">
        <f>SUM(C34:C66)</f>
        <v>2144298.814589665</v>
      </c>
      <c r="E67" s="50"/>
      <c r="F67" s="321"/>
      <c r="I67" s="529"/>
      <c r="J67" s="530"/>
      <c r="K67" s="103"/>
      <c r="M67" s="485"/>
      <c r="N67" s="486"/>
      <c r="O67" s="92"/>
      <c r="Q67" s="485"/>
      <c r="R67" s="486"/>
      <c r="S67" s="92"/>
      <c r="U67" s="485"/>
      <c r="V67" s="486"/>
      <c r="W67" s="92"/>
    </row>
    <row r="68" spans="2:23" ht="16.5" thickBot="1">
      <c r="B68" s="94"/>
      <c r="C68" s="94"/>
      <c r="E68" s="50"/>
      <c r="F68" s="321"/>
      <c r="I68" s="529"/>
      <c r="J68" s="530"/>
      <c r="K68" s="103"/>
      <c r="M68" s="485"/>
      <c r="N68" s="486"/>
      <c r="O68" s="92"/>
      <c r="Q68" s="485"/>
      <c r="R68" s="486"/>
      <c r="S68" s="92"/>
      <c r="U68" s="485"/>
      <c r="V68" s="486"/>
      <c r="W68" s="92"/>
    </row>
    <row r="69" spans="2:23" ht="16.5" thickBot="1">
      <c r="B69" s="504">
        <f>+C5</f>
        <v>0</v>
      </c>
      <c r="C69" s="505"/>
      <c r="E69" s="50"/>
      <c r="F69" s="92"/>
      <c r="I69" s="529"/>
      <c r="J69" s="530"/>
      <c r="K69" s="103"/>
      <c r="M69" s="485"/>
      <c r="N69" s="486"/>
      <c r="O69" s="92"/>
      <c r="Q69" s="485"/>
      <c r="R69" s="486"/>
      <c r="S69" s="92"/>
      <c r="U69" s="485"/>
      <c r="V69" s="486"/>
      <c r="W69" s="92"/>
    </row>
    <row r="70" spans="2:23" ht="15.75">
      <c r="B70" s="394" t="s">
        <v>199</v>
      </c>
      <c r="C70" s="395" t="s">
        <v>75</v>
      </c>
      <c r="E70" s="50"/>
      <c r="F70" s="92"/>
      <c r="I70" s="529"/>
      <c r="J70" s="530"/>
      <c r="K70" s="103"/>
      <c r="M70" s="485"/>
      <c r="N70" s="486"/>
      <c r="O70" s="92"/>
      <c r="Q70" s="485"/>
      <c r="R70" s="486"/>
      <c r="S70" s="92"/>
      <c r="U70" s="485"/>
      <c r="V70" s="486"/>
      <c r="W70" s="92"/>
    </row>
    <row r="71" spans="2:23" ht="15.75">
      <c r="B71" s="399"/>
      <c r="C71" s="359"/>
      <c r="E71" s="50"/>
      <c r="F71" s="92"/>
      <c r="I71" s="529"/>
      <c r="J71" s="530"/>
      <c r="K71" s="103"/>
      <c r="M71" s="485"/>
      <c r="N71" s="486"/>
      <c r="O71" s="92"/>
      <c r="Q71" s="485"/>
      <c r="R71" s="486"/>
      <c r="S71" s="92"/>
      <c r="U71" s="485"/>
      <c r="V71" s="486"/>
      <c r="W71" s="92">
        <v>10000</v>
      </c>
    </row>
    <row r="72" spans="2:23" ht="15.75">
      <c r="B72" s="399"/>
      <c r="C72" s="359"/>
      <c r="E72" s="50"/>
      <c r="F72" s="92"/>
      <c r="I72" s="529"/>
      <c r="J72" s="530"/>
      <c r="K72" s="103"/>
      <c r="M72" s="529"/>
      <c r="N72" s="530"/>
      <c r="O72" s="92"/>
      <c r="Q72" s="485"/>
      <c r="R72" s="486"/>
      <c r="S72" s="92"/>
      <c r="U72" s="485"/>
      <c r="V72" s="486"/>
      <c r="W72" s="92"/>
    </row>
    <row r="73" spans="2:23" ht="16.5" thickBot="1">
      <c r="B73" s="399"/>
      <c r="C73" s="359"/>
      <c r="E73" s="62"/>
      <c r="F73" s="93"/>
      <c r="I73" s="523"/>
      <c r="J73" s="524"/>
      <c r="K73" s="104"/>
      <c r="M73" s="523"/>
      <c r="N73" s="524"/>
      <c r="O73" s="93"/>
      <c r="Q73" s="525"/>
      <c r="R73" s="526"/>
      <c r="S73" s="93"/>
      <c r="U73" s="525"/>
      <c r="V73" s="526"/>
      <c r="W73" s="93"/>
    </row>
    <row r="74" spans="2:23" ht="16.5" thickBot="1">
      <c r="B74" s="399"/>
      <c r="C74" s="359"/>
      <c r="E74" s="49" t="s">
        <v>2</v>
      </c>
      <c r="F74" s="90">
        <f>SUM(F41:F73)</f>
        <v>204800459.11775994</v>
      </c>
      <c r="I74" s="597" t="s">
        <v>2</v>
      </c>
      <c r="J74" s="598"/>
      <c r="K74" s="90">
        <f>SUM(K33:K73)</f>
        <v>69844858.5993</v>
      </c>
      <c r="M74" s="498" t="s">
        <v>2</v>
      </c>
      <c r="N74" s="499"/>
      <c r="O74" s="89">
        <f>SUM(O33:O73)</f>
        <v>8016300</v>
      </c>
      <c r="Q74" s="498" t="s">
        <v>2</v>
      </c>
      <c r="R74" s="499"/>
      <c r="S74" s="89">
        <f>SUM(S33:S73)</f>
        <v>55000000</v>
      </c>
      <c r="U74" s="498" t="s">
        <v>2</v>
      </c>
      <c r="V74" s="499"/>
      <c r="W74" s="89">
        <f>SUM(W33:W73)</f>
        <v>26796749</v>
      </c>
    </row>
    <row r="75" spans="2:23" ht="16.5" thickBot="1">
      <c r="B75" s="360"/>
      <c r="C75" s="361"/>
      <c r="E75" s="510"/>
      <c r="F75" s="510"/>
      <c r="H75" s="322"/>
      <c r="I75" s="521" t="s">
        <v>18</v>
      </c>
      <c r="J75" s="522"/>
      <c r="K75" s="89">
        <v>6984485.85993</v>
      </c>
      <c r="M75" s="496" t="s">
        <v>19</v>
      </c>
      <c r="N75" s="497"/>
      <c r="O75" s="89">
        <v>856630</v>
      </c>
      <c r="Q75" s="496" t="s">
        <v>261</v>
      </c>
      <c r="R75" s="497"/>
      <c r="S75" s="89">
        <v>5500000</v>
      </c>
      <c r="U75" s="496" t="s">
        <v>262</v>
      </c>
      <c r="V75" s="497"/>
      <c r="W75" s="89">
        <v>5125639.8</v>
      </c>
    </row>
    <row r="76" spans="2:3" ht="16.5" thickBot="1">
      <c r="B76" s="360"/>
      <c r="C76" s="361"/>
    </row>
    <row r="77" spans="2:13" ht="17.25" customHeight="1" thickBot="1">
      <c r="B77" s="360"/>
      <c r="C77" s="361"/>
      <c r="E77" s="502" t="s">
        <v>245</v>
      </c>
      <c r="F77" s="503"/>
      <c r="I77" s="400" t="s">
        <v>206</v>
      </c>
      <c r="J77" s="527" t="s">
        <v>255</v>
      </c>
      <c r="K77" s="528"/>
      <c r="M77" s="431"/>
    </row>
    <row r="78" spans="2:11" ht="16.5" thickBot="1">
      <c r="B78" s="360"/>
      <c r="C78" s="361"/>
      <c r="E78" s="348" t="str">
        <f aca="true" t="shared" si="2" ref="E78:E87">E4</f>
        <v>cocina estandar  2 Mt2</v>
      </c>
      <c r="F78" s="354"/>
      <c r="I78" s="331">
        <f>O4</f>
        <v>60000000</v>
      </c>
      <c r="J78" s="576">
        <f>(F131)</f>
        <v>0</v>
      </c>
      <c r="K78" s="577"/>
    </row>
    <row r="79" spans="2:18" ht="16.5" thickBot="1">
      <c r="B79" s="360"/>
      <c r="C79" s="361"/>
      <c r="E79" s="346">
        <f t="shared" si="2"/>
        <v>0</v>
      </c>
      <c r="F79" s="51"/>
      <c r="M79" s="374" t="s">
        <v>20</v>
      </c>
      <c r="N79" s="375" t="s">
        <v>21</v>
      </c>
      <c r="O79" s="55" t="s">
        <v>165</v>
      </c>
      <c r="P79" s="55" t="s">
        <v>166</v>
      </c>
      <c r="Q79" s="55" t="s">
        <v>167</v>
      </c>
      <c r="R79" s="332" t="s">
        <v>178</v>
      </c>
    </row>
    <row r="80" spans="2:18" ht="16.5" thickBot="1">
      <c r="B80" s="360"/>
      <c r="C80" s="361"/>
      <c r="E80" s="346">
        <f t="shared" si="2"/>
        <v>0</v>
      </c>
      <c r="F80" s="51"/>
      <c r="I80" s="578" t="s">
        <v>213</v>
      </c>
      <c r="J80" s="579"/>
      <c r="K80" s="580"/>
      <c r="M80" s="85" t="s">
        <v>22</v>
      </c>
      <c r="N80" s="109"/>
      <c r="O80" s="333">
        <v>0.01</v>
      </c>
      <c r="P80" s="110">
        <v>0.01</v>
      </c>
      <c r="Q80" s="110">
        <v>0.01</v>
      </c>
      <c r="R80" s="334">
        <v>0.01</v>
      </c>
    </row>
    <row r="81" spans="2:18" ht="16.5" thickBot="1">
      <c r="B81" s="360"/>
      <c r="C81" s="361"/>
      <c r="E81" s="346">
        <f t="shared" si="2"/>
        <v>0</v>
      </c>
      <c r="F81" s="51"/>
      <c r="I81" s="330" t="s">
        <v>184</v>
      </c>
      <c r="J81" s="581" t="s">
        <v>23</v>
      </c>
      <c r="K81" s="582"/>
      <c r="M81" s="85" t="s">
        <v>181</v>
      </c>
      <c r="N81" s="109">
        <v>1500000</v>
      </c>
      <c r="O81" s="56"/>
      <c r="P81" s="56"/>
      <c r="Q81" s="56"/>
      <c r="R81" s="56"/>
    </row>
    <row r="82" spans="2:18" ht="16.5" thickBot="1">
      <c r="B82" s="362"/>
      <c r="C82" s="363"/>
      <c r="E82" s="346">
        <f t="shared" si="2"/>
        <v>0</v>
      </c>
      <c r="F82" s="51"/>
      <c r="I82" s="328">
        <v>0.038</v>
      </c>
      <c r="J82" s="513">
        <v>0.05</v>
      </c>
      <c r="K82" s="514"/>
      <c r="M82" s="85" t="s">
        <v>179</v>
      </c>
      <c r="N82" s="109">
        <v>600000</v>
      </c>
      <c r="O82" s="56"/>
      <c r="P82" s="572" t="s">
        <v>194</v>
      </c>
      <c r="Q82" s="573"/>
      <c r="R82" s="425">
        <v>2882000</v>
      </c>
    </row>
    <row r="83" spans="2:18" ht="16.5" thickBot="1">
      <c r="B83" s="364" t="s">
        <v>2</v>
      </c>
      <c r="C83" s="365">
        <f>SUM(C71:C82)</f>
        <v>0</v>
      </c>
      <c r="E83" s="346">
        <f t="shared" si="2"/>
        <v>0</v>
      </c>
      <c r="F83" s="51"/>
      <c r="I83" s="327" t="s">
        <v>185</v>
      </c>
      <c r="J83" s="569" t="s">
        <v>24</v>
      </c>
      <c r="K83" s="570"/>
      <c r="M83" s="85" t="s">
        <v>180</v>
      </c>
      <c r="N83" s="109">
        <v>300000</v>
      </c>
      <c r="O83" s="56"/>
      <c r="P83" s="56"/>
      <c r="Q83" s="56"/>
      <c r="R83" s="56"/>
    </row>
    <row r="84" spans="2:18" ht="16.5" thickBot="1">
      <c r="B84" s="366"/>
      <c r="C84" s="366"/>
      <c r="E84" s="346">
        <f t="shared" si="2"/>
        <v>0</v>
      </c>
      <c r="F84" s="51"/>
      <c r="I84" s="328">
        <v>0.04</v>
      </c>
      <c r="J84" s="513">
        <v>0</v>
      </c>
      <c r="K84" s="514"/>
      <c r="M84" s="86" t="s">
        <v>211</v>
      </c>
      <c r="N84" s="87"/>
      <c r="O84" s="56"/>
      <c r="P84" s="56"/>
      <c r="Q84" s="56"/>
      <c r="R84" s="56"/>
    </row>
    <row r="85" spans="2:14" ht="16.5" thickBot="1">
      <c r="B85" s="504">
        <f>+C6</f>
        <v>0</v>
      </c>
      <c r="C85" s="505"/>
      <c r="E85" s="346">
        <f t="shared" si="2"/>
        <v>0</v>
      </c>
      <c r="F85" s="51"/>
      <c r="I85" s="327" t="s">
        <v>186</v>
      </c>
      <c r="J85" s="569" t="s">
        <v>25</v>
      </c>
      <c r="K85" s="570"/>
      <c r="M85" s="88" t="s">
        <v>2</v>
      </c>
      <c r="N85" s="89">
        <f>SUM(N80:N84)</f>
        <v>2400000</v>
      </c>
    </row>
    <row r="86" spans="2:13" ht="16.5" thickBot="1">
      <c r="B86" s="394" t="s">
        <v>199</v>
      </c>
      <c r="C86" s="396" t="s">
        <v>75</v>
      </c>
      <c r="E86" s="346">
        <f t="shared" si="2"/>
        <v>0</v>
      </c>
      <c r="F86" s="51"/>
      <c r="I86" s="328">
        <v>0.042</v>
      </c>
      <c r="J86" s="513">
        <v>0</v>
      </c>
      <c r="K86" s="514"/>
      <c r="M86" s="83"/>
    </row>
    <row r="87" spans="2:16" ht="21.75" customHeight="1" thickBot="1">
      <c r="B87" s="399"/>
      <c r="C87" s="359"/>
      <c r="E87" s="347">
        <f t="shared" si="2"/>
        <v>0</v>
      </c>
      <c r="F87" s="53"/>
      <c r="I87" s="327" t="s">
        <v>187</v>
      </c>
      <c r="J87" s="569" t="s">
        <v>26</v>
      </c>
      <c r="K87" s="570"/>
      <c r="L87" s="507"/>
      <c r="M87" s="507"/>
      <c r="N87" s="384">
        <f>+'PRESUPUESTO DE INVERSION'!C11</f>
        <v>849267805.8741804</v>
      </c>
      <c r="O87" s="515" t="s">
        <v>188</v>
      </c>
      <c r="P87" s="516"/>
    </row>
    <row r="88" spans="2:28" ht="16.5" thickBot="1">
      <c r="B88" s="399"/>
      <c r="C88" s="359"/>
      <c r="E88" s="57" t="s">
        <v>2</v>
      </c>
      <c r="F88" s="89">
        <f>SUM(F78:F87)</f>
        <v>0</v>
      </c>
      <c r="I88" s="329">
        <v>0.044</v>
      </c>
      <c r="J88" s="586">
        <v>0</v>
      </c>
      <c r="K88" s="587"/>
      <c r="L88" s="508"/>
      <c r="M88" s="508"/>
      <c r="N88" s="58">
        <v>100000000</v>
      </c>
      <c r="O88" s="372" t="s">
        <v>27</v>
      </c>
      <c r="P88" s="373"/>
      <c r="AB88" s="49" t="s">
        <v>363</v>
      </c>
    </row>
    <row r="89" spans="2:18" ht="16.5" thickBot="1">
      <c r="B89" s="399"/>
      <c r="C89" s="359"/>
      <c r="I89" s="59"/>
      <c r="J89" s="59"/>
      <c r="L89" s="508"/>
      <c r="M89" s="508"/>
      <c r="N89" s="384">
        <f>+N87-N88</f>
        <v>749267805.8741804</v>
      </c>
      <c r="O89" s="517" t="s">
        <v>29</v>
      </c>
      <c r="P89" s="518"/>
      <c r="R89" s="84"/>
    </row>
    <row r="90" spans="2:16" ht="16.5" thickBot="1">
      <c r="B90" s="399"/>
      <c r="C90" s="359"/>
      <c r="E90" s="511" t="s">
        <v>246</v>
      </c>
      <c r="F90" s="512"/>
      <c r="L90" s="509"/>
      <c r="M90" s="509"/>
      <c r="N90" s="371">
        <v>24</v>
      </c>
      <c r="O90" s="519" t="s">
        <v>31</v>
      </c>
      <c r="P90" s="520"/>
    </row>
    <row r="91" spans="2:16" ht="16.5" thickBot="1">
      <c r="B91" s="360"/>
      <c r="C91" s="361"/>
      <c r="E91" s="356" t="s">
        <v>28</v>
      </c>
      <c r="F91" s="387">
        <v>0.0426</v>
      </c>
      <c r="L91" s="506"/>
      <c r="M91" s="506"/>
      <c r="N91" s="342">
        <v>0.2804</v>
      </c>
      <c r="O91" s="500" t="s">
        <v>33</v>
      </c>
      <c r="P91" s="501"/>
    </row>
    <row r="92" spans="2:11" ht="15.75">
      <c r="B92" s="360"/>
      <c r="C92" s="361"/>
      <c r="E92" s="338" t="s">
        <v>30</v>
      </c>
      <c r="F92" s="342">
        <v>0.0426</v>
      </c>
      <c r="I92" s="259"/>
      <c r="J92" s="259"/>
      <c r="K92" s="259"/>
    </row>
    <row r="93" spans="2:11" ht="16.5" thickBot="1">
      <c r="B93" s="360"/>
      <c r="C93" s="361"/>
      <c r="E93" s="341" t="s">
        <v>32</v>
      </c>
      <c r="F93" s="342">
        <v>0.0426</v>
      </c>
      <c r="I93" s="259"/>
      <c r="J93" s="323"/>
      <c r="K93" s="324"/>
    </row>
    <row r="94" spans="2:16" ht="16.5" thickBot="1">
      <c r="B94" s="360"/>
      <c r="C94" s="361"/>
      <c r="E94" s="347" t="s">
        <v>34</v>
      </c>
      <c r="F94" s="343">
        <v>0.0426</v>
      </c>
      <c r="I94" s="599" t="s">
        <v>35</v>
      </c>
      <c r="J94" s="600"/>
      <c r="K94" s="460">
        <v>0.05</v>
      </c>
      <c r="M94" s="588" t="s">
        <v>204</v>
      </c>
      <c r="N94" s="589"/>
      <c r="O94" s="590">
        <f>'FLUJO DE CAJA'!B24</f>
        <v>0.4082345438833048</v>
      </c>
      <c r="P94" s="591"/>
    </row>
    <row r="95" spans="2:12" ht="16.5" thickBot="1">
      <c r="B95" s="360"/>
      <c r="C95" s="361"/>
      <c r="J95" s="106"/>
      <c r="K95" s="107"/>
      <c r="L95" s="105"/>
    </row>
    <row r="96" spans="2:16" ht="17.25" customHeight="1" thickBot="1">
      <c r="B96" s="360"/>
      <c r="C96" s="361"/>
      <c r="E96" s="511" t="s">
        <v>197</v>
      </c>
      <c r="F96" s="512"/>
      <c r="J96" s="60"/>
      <c r="K96" s="60"/>
      <c r="O96" s="325">
        <f>'FLUJO DE CAJA'!B25</f>
        <v>227164212.40066794</v>
      </c>
      <c r="P96" s="49" t="s">
        <v>130</v>
      </c>
    </row>
    <row r="97" spans="2:15" ht="15.75">
      <c r="B97" s="360"/>
      <c r="C97" s="361"/>
      <c r="E97" s="406" t="str">
        <f aca="true" t="shared" si="3" ref="E97:E106">E78</f>
        <v>cocina estandar  2 Mt2</v>
      </c>
      <c r="F97" s="407">
        <v>0</v>
      </c>
      <c r="K97" s="105"/>
      <c r="L97" s="105"/>
      <c r="O97" s="61"/>
    </row>
    <row r="98" spans="2:12" ht="16.5" thickBot="1">
      <c r="B98" s="367"/>
      <c r="C98" s="363"/>
      <c r="E98" s="346">
        <f t="shared" si="3"/>
        <v>0</v>
      </c>
      <c r="F98" s="355">
        <v>0</v>
      </c>
      <c r="J98" s="60"/>
      <c r="K98" s="258"/>
      <c r="L98" s="259"/>
    </row>
    <row r="99" spans="2:12" ht="16.5" thickBot="1">
      <c r="B99" s="364" t="s">
        <v>2</v>
      </c>
      <c r="C99" s="365">
        <f>SUM(C87:C98)</f>
        <v>0</v>
      </c>
      <c r="E99" s="346">
        <f t="shared" si="3"/>
        <v>0</v>
      </c>
      <c r="F99" s="355">
        <v>0</v>
      </c>
      <c r="J99" s="60"/>
      <c r="K99" s="259"/>
      <c r="L99" s="259"/>
    </row>
    <row r="100" spans="2:6" ht="16.5" thickBot="1">
      <c r="B100" s="366"/>
      <c r="C100" s="366"/>
      <c r="E100" s="346">
        <f t="shared" si="3"/>
        <v>0</v>
      </c>
      <c r="F100" s="355">
        <v>0</v>
      </c>
    </row>
    <row r="101" spans="2:6" ht="16.5" thickBot="1">
      <c r="B101" s="504">
        <f>+C7</f>
        <v>0</v>
      </c>
      <c r="C101" s="505"/>
      <c r="E101" s="346">
        <f t="shared" si="3"/>
        <v>0</v>
      </c>
      <c r="F101" s="355">
        <v>0</v>
      </c>
    </row>
    <row r="102" spans="2:6" ht="15.75">
      <c r="B102" s="394" t="s">
        <v>199</v>
      </c>
      <c r="C102" s="396" t="s">
        <v>75</v>
      </c>
      <c r="E102" s="346">
        <f t="shared" si="3"/>
        <v>0</v>
      </c>
      <c r="F102" s="355">
        <v>0</v>
      </c>
    </row>
    <row r="103" spans="2:6" ht="15.75">
      <c r="B103" s="399"/>
      <c r="C103" s="359"/>
      <c r="E103" s="346">
        <f t="shared" si="3"/>
        <v>0</v>
      </c>
      <c r="F103" s="355">
        <v>0</v>
      </c>
    </row>
    <row r="104" spans="2:6" ht="15.75">
      <c r="B104" s="399"/>
      <c r="C104" s="359"/>
      <c r="E104" s="346">
        <f t="shared" si="3"/>
        <v>0</v>
      </c>
      <c r="F104" s="355">
        <v>0</v>
      </c>
    </row>
    <row r="105" spans="2:6" ht="15.75">
      <c r="B105" s="360"/>
      <c r="C105" s="361"/>
      <c r="E105" s="346">
        <f t="shared" si="3"/>
        <v>0</v>
      </c>
      <c r="F105" s="355">
        <v>0</v>
      </c>
    </row>
    <row r="106" spans="2:6" ht="16.5" thickBot="1">
      <c r="B106" s="360"/>
      <c r="C106" s="361"/>
      <c r="E106" s="347">
        <f t="shared" si="3"/>
        <v>0</v>
      </c>
      <c r="F106" s="405">
        <v>0</v>
      </c>
    </row>
    <row r="107" spans="2:3" ht="16.5" thickBot="1">
      <c r="B107" s="360"/>
      <c r="C107" s="361"/>
    </row>
    <row r="108" spans="2:6" ht="16.5" thickBot="1">
      <c r="B108" s="360"/>
      <c r="C108" s="361"/>
      <c r="E108" s="493" t="s">
        <v>254</v>
      </c>
      <c r="F108" s="495"/>
    </row>
    <row r="109" spans="2:6" ht="15.75">
      <c r="B109" s="360"/>
      <c r="C109" s="361"/>
      <c r="E109" s="356" t="s">
        <v>28</v>
      </c>
      <c r="F109" s="387">
        <v>0</v>
      </c>
    </row>
    <row r="110" spans="2:6" ht="15.75">
      <c r="B110" s="360"/>
      <c r="C110" s="361"/>
      <c r="E110" s="338" t="s">
        <v>30</v>
      </c>
      <c r="F110" s="342">
        <v>0</v>
      </c>
    </row>
    <row r="111" spans="2:6" ht="15.75">
      <c r="B111" s="360"/>
      <c r="C111" s="361"/>
      <c r="E111" s="341" t="s">
        <v>32</v>
      </c>
      <c r="F111" s="342">
        <v>0</v>
      </c>
    </row>
    <row r="112" spans="2:6" ht="16.5" thickBot="1">
      <c r="B112" s="360"/>
      <c r="C112" s="361"/>
      <c r="E112" s="347" t="s">
        <v>34</v>
      </c>
      <c r="F112" s="343">
        <v>0</v>
      </c>
    </row>
    <row r="113" spans="2:6" ht="15.75">
      <c r="B113" s="360"/>
      <c r="C113" s="361"/>
      <c r="E113" s="60"/>
      <c r="F113" s="60"/>
    </row>
    <row r="114" spans="2:6" ht="16.5" thickBot="1">
      <c r="B114" s="367"/>
      <c r="C114" s="363"/>
      <c r="E114" s="60"/>
      <c r="F114" s="60"/>
    </row>
    <row r="115" spans="2:6" ht="16.5" thickBot="1">
      <c r="B115" s="364" t="s">
        <v>2</v>
      </c>
      <c r="C115" s="365">
        <f>SUM(C103:C114)</f>
        <v>0</v>
      </c>
      <c r="E115" s="60"/>
      <c r="F115" s="60"/>
    </row>
    <row r="116" spans="2:6" ht="16.5" thickBot="1">
      <c r="B116" s="366"/>
      <c r="C116" s="366"/>
      <c r="E116" s="60"/>
      <c r="F116" s="60"/>
    </row>
    <row r="117" spans="2:6" ht="16.5" thickBot="1">
      <c r="B117" s="504">
        <f>+C8</f>
        <v>0</v>
      </c>
      <c r="C117" s="505"/>
      <c r="E117" s="502" t="s">
        <v>247</v>
      </c>
      <c r="F117" s="503"/>
    </row>
    <row r="118" spans="2:6" ht="15.75">
      <c r="B118" s="394" t="s">
        <v>199</v>
      </c>
      <c r="C118" s="396" t="s">
        <v>75</v>
      </c>
      <c r="E118" s="357" t="s">
        <v>182</v>
      </c>
      <c r="F118" s="358" t="s">
        <v>17</v>
      </c>
    </row>
    <row r="119" spans="2:6" ht="15.75">
      <c r="B119" s="399"/>
      <c r="C119" s="359"/>
      <c r="E119" s="50"/>
      <c r="F119" s="401"/>
    </row>
    <row r="120" spans="2:6" ht="15.75">
      <c r="B120" s="399"/>
      <c r="C120" s="359"/>
      <c r="E120" s="50"/>
      <c r="F120" s="401"/>
    </row>
    <row r="121" spans="2:6" ht="15.75">
      <c r="B121" s="360"/>
      <c r="C121" s="361"/>
      <c r="E121" s="50"/>
      <c r="F121" s="401"/>
    </row>
    <row r="122" spans="2:6" ht="15.75">
      <c r="B122" s="360"/>
      <c r="C122" s="361"/>
      <c r="E122" s="50"/>
      <c r="F122" s="401"/>
    </row>
    <row r="123" spans="2:6" ht="15.75">
      <c r="B123" s="360"/>
      <c r="C123" s="361"/>
      <c r="E123" s="50"/>
      <c r="F123" s="92"/>
    </row>
    <row r="124" spans="2:6" ht="15.75">
      <c r="B124" s="360"/>
      <c r="C124" s="361"/>
      <c r="E124" s="50"/>
      <c r="F124" s="92"/>
    </row>
    <row r="125" spans="2:6" ht="15.75">
      <c r="B125" s="360"/>
      <c r="C125" s="361"/>
      <c r="E125" s="50"/>
      <c r="F125" s="92"/>
    </row>
    <row r="126" spans="2:6" ht="15.75">
      <c r="B126" s="360"/>
      <c r="C126" s="361"/>
      <c r="E126" s="50"/>
      <c r="F126" s="92"/>
    </row>
    <row r="127" spans="2:6" ht="15.75">
      <c r="B127" s="360"/>
      <c r="C127" s="361"/>
      <c r="E127" s="50"/>
      <c r="F127" s="92"/>
    </row>
    <row r="128" spans="2:6" ht="15.75">
      <c r="B128" s="360"/>
      <c r="C128" s="361"/>
      <c r="E128" s="50"/>
      <c r="F128" s="92"/>
    </row>
    <row r="129" spans="2:6" ht="15.75">
      <c r="B129" s="360"/>
      <c r="C129" s="361"/>
      <c r="E129" s="50"/>
      <c r="F129" s="92"/>
    </row>
    <row r="130" spans="2:6" ht="16.5" thickBot="1">
      <c r="B130" s="367"/>
      <c r="C130" s="363"/>
      <c r="E130" s="62"/>
      <c r="F130" s="93"/>
    </row>
    <row r="131" spans="2:6" ht="16.5" thickBot="1">
      <c r="B131" s="364" t="s">
        <v>2</v>
      </c>
      <c r="C131" s="365">
        <f>SUM(C119:C130)</f>
        <v>0</v>
      </c>
      <c r="E131" s="49" t="s">
        <v>2</v>
      </c>
      <c r="F131" s="90">
        <f>SUM(F119:F130)</f>
        <v>0</v>
      </c>
    </row>
    <row r="132" spans="2:6" ht="16.5" thickBot="1">
      <c r="B132" s="366"/>
      <c r="C132" s="366"/>
      <c r="E132" s="60"/>
      <c r="F132" s="60"/>
    </row>
    <row r="133" spans="2:6" ht="16.5" thickBot="1">
      <c r="B133" s="504">
        <f>+C9</f>
        <v>0</v>
      </c>
      <c r="C133" s="505"/>
      <c r="E133" s="60"/>
      <c r="F133" s="60"/>
    </row>
    <row r="134" spans="2:6" ht="15.75">
      <c r="B134" s="394" t="s">
        <v>199</v>
      </c>
      <c r="C134" s="396" t="s">
        <v>75</v>
      </c>
      <c r="E134" s="60"/>
      <c r="F134" s="60"/>
    </row>
    <row r="135" spans="2:6" ht="15.75">
      <c r="B135" s="399"/>
      <c r="C135" s="359"/>
      <c r="E135" s="60"/>
      <c r="F135" s="60"/>
    </row>
    <row r="136" spans="2:6" ht="15.75">
      <c r="B136" s="399"/>
      <c r="C136" s="359"/>
      <c r="E136" s="60"/>
      <c r="F136" s="60"/>
    </row>
    <row r="137" spans="2:6" ht="15.75">
      <c r="B137" s="360"/>
      <c r="C137" s="361"/>
      <c r="E137" s="60"/>
      <c r="F137" s="60"/>
    </row>
    <row r="138" spans="2:6" ht="15.75">
      <c r="B138" s="360"/>
      <c r="C138" s="361"/>
      <c r="E138" s="60"/>
      <c r="F138" s="60"/>
    </row>
    <row r="139" spans="2:6" ht="15.75">
      <c r="B139" s="360"/>
      <c r="C139" s="361"/>
      <c r="E139" s="510"/>
      <c r="F139" s="510"/>
    </row>
    <row r="140" spans="2:6" ht="15.75">
      <c r="B140" s="360"/>
      <c r="C140" s="361"/>
      <c r="E140" s="63"/>
      <c r="F140" s="63"/>
    </row>
    <row r="141" spans="2:6" ht="15.75">
      <c r="B141" s="360"/>
      <c r="C141" s="361"/>
      <c r="E141" s="60"/>
      <c r="F141" s="60"/>
    </row>
    <row r="142" spans="2:6" ht="15.75">
      <c r="B142" s="360"/>
      <c r="C142" s="361"/>
      <c r="E142" s="60"/>
      <c r="F142" s="60"/>
    </row>
    <row r="143" spans="2:6" ht="15.75">
      <c r="B143" s="360"/>
      <c r="C143" s="361"/>
      <c r="E143" s="60"/>
      <c r="F143" s="60"/>
    </row>
    <row r="144" spans="2:6" ht="15.75">
      <c r="B144" s="360"/>
      <c r="C144" s="361"/>
      <c r="E144" s="60"/>
      <c r="F144" s="60"/>
    </row>
    <row r="145" spans="2:6" ht="15.75">
      <c r="B145" s="360"/>
      <c r="C145" s="361"/>
      <c r="E145" s="60"/>
      <c r="F145" s="60"/>
    </row>
    <row r="146" spans="2:6" ht="16.5" thickBot="1">
      <c r="B146" s="367"/>
      <c r="C146" s="363"/>
      <c r="E146" s="60"/>
      <c r="F146" s="60"/>
    </row>
    <row r="147" spans="2:6" ht="16.5" thickBot="1">
      <c r="B147" s="364" t="s">
        <v>2</v>
      </c>
      <c r="C147" s="365">
        <f>SUM(C135:C146)</f>
        <v>0</v>
      </c>
      <c r="E147" s="60"/>
      <c r="F147" s="60"/>
    </row>
    <row r="148" spans="2:6" ht="16.5" thickBot="1">
      <c r="B148" s="366"/>
      <c r="C148" s="366"/>
      <c r="E148" s="60"/>
      <c r="F148" s="60"/>
    </row>
    <row r="149" spans="2:6" ht="16.5" thickBot="1">
      <c r="B149" s="504">
        <f>+C10</f>
        <v>0</v>
      </c>
      <c r="C149" s="505"/>
      <c r="E149" s="60"/>
      <c r="F149" s="60"/>
    </row>
    <row r="150" spans="2:6" ht="15.75">
      <c r="B150" s="394" t="s">
        <v>199</v>
      </c>
      <c r="C150" s="396" t="s">
        <v>75</v>
      </c>
      <c r="E150" s="60"/>
      <c r="F150" s="60"/>
    </row>
    <row r="151" spans="2:6" ht="15.75">
      <c r="B151" s="399"/>
      <c r="C151" s="359"/>
      <c r="E151" s="60"/>
      <c r="F151" s="60"/>
    </row>
    <row r="152" spans="2:6" ht="15.75">
      <c r="B152" s="399"/>
      <c r="C152" s="359"/>
      <c r="E152" s="60"/>
      <c r="F152" s="60"/>
    </row>
    <row r="153" spans="2:6" ht="15.75">
      <c r="B153" s="360"/>
      <c r="C153" s="361"/>
      <c r="E153" s="60"/>
      <c r="F153" s="60"/>
    </row>
    <row r="154" spans="2:6" ht="15.75">
      <c r="B154" s="360"/>
      <c r="C154" s="361"/>
      <c r="E154" s="60"/>
      <c r="F154" s="60"/>
    </row>
    <row r="155" spans="2:6" ht="15.75">
      <c r="B155" s="360"/>
      <c r="C155" s="361"/>
      <c r="E155" s="510"/>
      <c r="F155" s="510"/>
    </row>
    <row r="156" spans="2:6" ht="15.75">
      <c r="B156" s="360"/>
      <c r="C156" s="361"/>
      <c r="E156" s="63"/>
      <c r="F156" s="63"/>
    </row>
    <row r="157" spans="2:6" ht="15.75">
      <c r="B157" s="360"/>
      <c r="C157" s="361"/>
      <c r="E157" s="60"/>
      <c r="F157" s="60"/>
    </row>
    <row r="158" spans="2:6" ht="15.75">
      <c r="B158" s="360"/>
      <c r="C158" s="361"/>
      <c r="E158" s="60"/>
      <c r="F158" s="60"/>
    </row>
    <row r="159" spans="2:6" ht="15.75">
      <c r="B159" s="360"/>
      <c r="C159" s="361"/>
      <c r="E159" s="60"/>
      <c r="F159" s="60"/>
    </row>
    <row r="160" spans="2:6" ht="15.75">
      <c r="B160" s="360"/>
      <c r="C160" s="361"/>
      <c r="E160" s="60"/>
      <c r="F160" s="60"/>
    </row>
    <row r="161" spans="2:6" ht="15.75">
      <c r="B161" s="360"/>
      <c r="C161" s="361"/>
      <c r="E161" s="60"/>
      <c r="F161" s="60"/>
    </row>
    <row r="162" spans="2:6" ht="16.5" thickBot="1">
      <c r="B162" s="367"/>
      <c r="C162" s="363"/>
      <c r="E162" s="60"/>
      <c r="F162" s="60"/>
    </row>
    <row r="163" spans="2:6" ht="16.5" thickBot="1">
      <c r="B163" s="364" t="s">
        <v>2</v>
      </c>
      <c r="C163" s="365">
        <f>SUM(C151:C162)</f>
        <v>0</v>
      </c>
      <c r="E163" s="60"/>
      <c r="F163" s="60"/>
    </row>
    <row r="164" spans="2:6" ht="16.5" thickBot="1">
      <c r="B164" s="366"/>
      <c r="C164" s="366"/>
      <c r="E164" s="60"/>
      <c r="F164" s="60"/>
    </row>
    <row r="165" spans="2:6" ht="16.5" thickBot="1">
      <c r="B165" s="504">
        <f>+C11</f>
        <v>0</v>
      </c>
      <c r="C165" s="505"/>
      <c r="E165" s="60"/>
      <c r="F165" s="60"/>
    </row>
    <row r="166" spans="2:6" ht="15.75">
      <c r="B166" s="394" t="s">
        <v>199</v>
      </c>
      <c r="C166" s="396" t="s">
        <v>75</v>
      </c>
      <c r="E166" s="60"/>
      <c r="F166" s="60"/>
    </row>
    <row r="167" spans="2:6" ht="15.75">
      <c r="B167" s="399"/>
      <c r="C167" s="359"/>
      <c r="E167" s="60"/>
      <c r="F167" s="60"/>
    </row>
    <row r="168" spans="2:6" ht="15.75">
      <c r="B168" s="399"/>
      <c r="C168" s="359"/>
      <c r="E168" s="60"/>
      <c r="F168" s="60"/>
    </row>
    <row r="169" spans="2:6" ht="15.75">
      <c r="B169" s="360"/>
      <c r="C169" s="361"/>
      <c r="E169" s="60"/>
      <c r="F169" s="60"/>
    </row>
    <row r="170" spans="2:6" ht="15.75">
      <c r="B170" s="360"/>
      <c r="C170" s="361"/>
      <c r="E170" s="60"/>
      <c r="F170" s="60"/>
    </row>
    <row r="171" spans="2:6" ht="15.75">
      <c r="B171" s="360"/>
      <c r="C171" s="361"/>
      <c r="E171" s="510"/>
      <c r="F171" s="510"/>
    </row>
    <row r="172" spans="2:6" ht="15.75">
      <c r="B172" s="360"/>
      <c r="C172" s="361"/>
      <c r="E172" s="63"/>
      <c r="F172" s="63"/>
    </row>
    <row r="173" spans="2:6" ht="15.75">
      <c r="B173" s="360"/>
      <c r="C173" s="361"/>
      <c r="E173" s="60"/>
      <c r="F173" s="60"/>
    </row>
    <row r="174" spans="2:6" ht="15.75">
      <c r="B174" s="360"/>
      <c r="C174" s="361"/>
      <c r="E174" s="60"/>
      <c r="F174" s="60"/>
    </row>
    <row r="175" spans="2:6" ht="15.75">
      <c r="B175" s="360"/>
      <c r="C175" s="361"/>
      <c r="E175" s="60"/>
      <c r="F175" s="60"/>
    </row>
    <row r="176" spans="2:6" ht="15.75">
      <c r="B176" s="360"/>
      <c r="C176" s="361"/>
      <c r="E176" s="60"/>
      <c r="F176" s="60"/>
    </row>
    <row r="177" spans="2:6" ht="15.75">
      <c r="B177" s="360"/>
      <c r="C177" s="361"/>
      <c r="E177" s="60"/>
      <c r="F177" s="60"/>
    </row>
    <row r="178" spans="2:6" ht="16.5" thickBot="1">
      <c r="B178" s="367"/>
      <c r="C178" s="363"/>
      <c r="E178" s="60"/>
      <c r="F178" s="60"/>
    </row>
    <row r="179" spans="2:6" ht="16.5" thickBot="1">
      <c r="B179" s="364" t="s">
        <v>2</v>
      </c>
      <c r="C179" s="365">
        <f>SUM(C167:C178)</f>
        <v>0</v>
      </c>
      <c r="E179" s="60"/>
      <c r="F179" s="60"/>
    </row>
    <row r="180" spans="2:6" ht="16.5" thickBot="1">
      <c r="B180" s="366"/>
      <c r="C180" s="366"/>
      <c r="E180" s="60"/>
      <c r="F180" s="60"/>
    </row>
    <row r="181" spans="2:6" ht="16.5" thickBot="1">
      <c r="B181" s="504">
        <f>+C12</f>
        <v>0</v>
      </c>
      <c r="C181" s="505"/>
      <c r="E181" s="60"/>
      <c r="F181" s="60"/>
    </row>
    <row r="182" spans="2:6" ht="15.75">
      <c r="B182" s="394" t="s">
        <v>199</v>
      </c>
      <c r="C182" s="396" t="s">
        <v>75</v>
      </c>
      <c r="E182" s="60"/>
      <c r="F182" s="60"/>
    </row>
    <row r="183" spans="2:6" ht="15.75">
      <c r="B183" s="399"/>
      <c r="C183" s="359"/>
      <c r="E183" s="60"/>
      <c r="F183" s="60"/>
    </row>
    <row r="184" spans="2:6" ht="15.75">
      <c r="B184" s="399"/>
      <c r="C184" s="359"/>
      <c r="E184" s="60"/>
      <c r="F184" s="60"/>
    </row>
    <row r="185" spans="2:6" ht="15.75">
      <c r="B185" s="360"/>
      <c r="C185" s="361"/>
      <c r="E185" s="60"/>
      <c r="F185" s="60"/>
    </row>
    <row r="186" spans="2:6" ht="15.75">
      <c r="B186" s="360"/>
      <c r="C186" s="361"/>
      <c r="E186" s="60"/>
      <c r="F186" s="60"/>
    </row>
    <row r="187" spans="2:6" ht="15.75">
      <c r="B187" s="360"/>
      <c r="C187" s="361"/>
      <c r="E187" s="510"/>
      <c r="F187" s="510"/>
    </row>
    <row r="188" spans="2:6" ht="15.75">
      <c r="B188" s="360"/>
      <c r="C188" s="361"/>
      <c r="E188" s="63"/>
      <c r="F188" s="63"/>
    </row>
    <row r="189" spans="2:6" ht="15.75">
      <c r="B189" s="360"/>
      <c r="C189" s="361"/>
      <c r="E189" s="60"/>
      <c r="F189" s="60"/>
    </row>
    <row r="190" spans="2:6" ht="15.75">
      <c r="B190" s="360"/>
      <c r="C190" s="361"/>
      <c r="E190" s="60"/>
      <c r="F190" s="60"/>
    </row>
    <row r="191" spans="2:6" ht="15.75">
      <c r="B191" s="360"/>
      <c r="C191" s="361"/>
      <c r="E191" s="60"/>
      <c r="F191" s="60"/>
    </row>
    <row r="192" spans="2:6" ht="15.75">
      <c r="B192" s="360"/>
      <c r="C192" s="361"/>
      <c r="E192" s="60"/>
      <c r="F192" s="60"/>
    </row>
    <row r="193" spans="2:6" ht="15.75">
      <c r="B193" s="360"/>
      <c r="C193" s="361"/>
      <c r="E193" s="60"/>
      <c r="F193" s="60"/>
    </row>
    <row r="194" spans="2:6" ht="16.5" thickBot="1">
      <c r="B194" s="367"/>
      <c r="C194" s="363"/>
      <c r="E194" s="60"/>
      <c r="F194" s="60"/>
    </row>
    <row r="195" spans="2:6" ht="16.5" thickBot="1">
      <c r="B195" s="364" t="s">
        <v>2</v>
      </c>
      <c r="C195" s="365">
        <f>SUM(C183:C194)</f>
        <v>0</v>
      </c>
      <c r="E195" s="60"/>
      <c r="F195" s="60"/>
    </row>
    <row r="196" spans="2:6" ht="16.5" thickBot="1">
      <c r="B196" s="366"/>
      <c r="C196" s="366"/>
      <c r="E196" s="60"/>
      <c r="F196" s="60"/>
    </row>
    <row r="197" spans="2:6" ht="16.5" thickBot="1">
      <c r="B197" s="504">
        <f>+C13</f>
        <v>0</v>
      </c>
      <c r="C197" s="505"/>
      <c r="E197" s="60"/>
      <c r="F197" s="60"/>
    </row>
    <row r="198" spans="2:6" ht="15.75">
      <c r="B198" s="394" t="s">
        <v>199</v>
      </c>
      <c r="C198" s="396" t="s">
        <v>75</v>
      </c>
      <c r="E198" s="60"/>
      <c r="F198" s="60"/>
    </row>
    <row r="199" spans="2:6" ht="15.75">
      <c r="B199" s="399"/>
      <c r="C199" s="359"/>
      <c r="E199" s="60"/>
      <c r="F199" s="60"/>
    </row>
    <row r="200" spans="2:6" ht="15.75">
      <c r="B200" s="399"/>
      <c r="C200" s="359"/>
      <c r="E200" s="60"/>
      <c r="F200" s="60"/>
    </row>
    <row r="201" spans="2:6" ht="15.75">
      <c r="B201" s="360"/>
      <c r="C201" s="361"/>
      <c r="E201" s="60"/>
      <c r="F201" s="60"/>
    </row>
    <row r="202" spans="2:6" ht="15.75">
      <c r="B202" s="360"/>
      <c r="C202" s="361"/>
      <c r="E202" s="60"/>
      <c r="F202" s="60"/>
    </row>
    <row r="203" spans="2:6" ht="15.75">
      <c r="B203" s="360"/>
      <c r="C203" s="361"/>
      <c r="E203" s="510"/>
      <c r="F203" s="510"/>
    </row>
    <row r="204" spans="2:6" ht="15.75">
      <c r="B204" s="360"/>
      <c r="C204" s="361"/>
      <c r="E204" s="63"/>
      <c r="F204" s="63"/>
    </row>
    <row r="205" spans="2:6" ht="15.75">
      <c r="B205" s="360"/>
      <c r="C205" s="361"/>
      <c r="E205" s="60"/>
      <c r="F205" s="60"/>
    </row>
    <row r="206" spans="2:6" ht="15.75">
      <c r="B206" s="360"/>
      <c r="C206" s="361"/>
      <c r="E206" s="60"/>
      <c r="F206" s="60"/>
    </row>
    <row r="207" spans="2:6" ht="15.75">
      <c r="B207" s="360"/>
      <c r="C207" s="361"/>
      <c r="E207" s="60"/>
      <c r="F207" s="60"/>
    </row>
    <row r="208" spans="2:6" ht="15.75">
      <c r="B208" s="360"/>
      <c r="C208" s="361"/>
      <c r="E208" s="60"/>
      <c r="F208" s="60"/>
    </row>
    <row r="209" spans="2:6" ht="15.75">
      <c r="B209" s="360"/>
      <c r="C209" s="361"/>
      <c r="E209" s="60"/>
      <c r="F209" s="60"/>
    </row>
    <row r="210" spans="2:6" ht="16.5" thickBot="1">
      <c r="B210" s="367"/>
      <c r="C210" s="363"/>
      <c r="E210" s="60"/>
      <c r="F210" s="60"/>
    </row>
    <row r="211" spans="2:6" ht="16.5" thickBot="1">
      <c r="B211" s="364" t="s">
        <v>2</v>
      </c>
      <c r="C211" s="365">
        <f>SUM(C199:C210)</f>
        <v>0</v>
      </c>
      <c r="E211" s="60"/>
      <c r="F211" s="60"/>
    </row>
    <row r="212" spans="5:6" ht="15.75">
      <c r="E212" s="60"/>
      <c r="F212" s="60"/>
    </row>
    <row r="213" spans="5:6" ht="15.75">
      <c r="E213" s="60"/>
      <c r="F213" s="60"/>
    </row>
    <row r="214" spans="5:6" ht="15.75">
      <c r="E214" s="60"/>
      <c r="F214" s="60"/>
    </row>
    <row r="215" spans="5:6" ht="15.75">
      <c r="E215" s="60"/>
      <c r="F215" s="60"/>
    </row>
    <row r="216" spans="2:6" ht="15.75">
      <c r="B216" s="49" t="s">
        <v>217</v>
      </c>
      <c r="E216" s="60"/>
      <c r="F216" s="60"/>
    </row>
    <row r="217" spans="2:6" ht="15.75">
      <c r="B217" s="49" t="s">
        <v>218</v>
      </c>
      <c r="E217" s="60"/>
      <c r="F217" s="60"/>
    </row>
    <row r="218" spans="5:6" ht="15.75">
      <c r="E218" s="60"/>
      <c r="F218" s="60"/>
    </row>
    <row r="219" spans="5:6" ht="15.75">
      <c r="E219" s="60"/>
      <c r="F219" s="60"/>
    </row>
    <row r="220" spans="5:6" ht="15.75">
      <c r="E220" s="60"/>
      <c r="F220" s="60"/>
    </row>
    <row r="221" spans="5:6" ht="15.75">
      <c r="E221" s="60"/>
      <c r="F221" s="60"/>
    </row>
    <row r="222" spans="5:6" ht="15.75">
      <c r="E222" s="60"/>
      <c r="F222" s="60"/>
    </row>
    <row r="223" spans="5:6" ht="15.75">
      <c r="E223" s="60"/>
      <c r="F223" s="60"/>
    </row>
    <row r="224" spans="5:6" ht="15.75">
      <c r="E224" s="60"/>
      <c r="F224" s="60"/>
    </row>
    <row r="225" spans="5:6" ht="15.75">
      <c r="E225" s="60"/>
      <c r="F225" s="60"/>
    </row>
    <row r="226" spans="5:6" ht="15.75">
      <c r="E226" s="60"/>
      <c r="F226" s="60"/>
    </row>
    <row r="227" spans="5:6" ht="15.75">
      <c r="E227" s="60"/>
      <c r="F227" s="60"/>
    </row>
    <row r="228" spans="5:6" ht="15.75">
      <c r="E228" s="60"/>
      <c r="F228" s="60"/>
    </row>
  </sheetData>
  <sheetProtection/>
  <protectedRanges>
    <protectedRange sqref="U40:V73 M8:N11" name="Rango42"/>
    <protectedRange sqref="Q34:S73 W40:W73 O8:O11" name="Rango41"/>
    <protectedRange sqref="O80:R80" name="Rango39"/>
    <protectedRange sqref="M45:O73 M4:N4" name="Rango37"/>
    <protectedRange sqref="K93:K94" name="Rango36"/>
    <protectedRange sqref="I88:J88" name="Rango35"/>
    <protectedRange sqref="I86:J86" name="Rango34"/>
    <protectedRange sqref="I84:J84" name="Rango33"/>
    <protectedRange sqref="I82:J82" name="Rango32"/>
    <protectedRange sqref="I78:J78" name="Rango31"/>
    <protectedRange sqref="I55:K73" name="Rango30"/>
    <protectedRange sqref="K25" name="Rango28"/>
    <protectedRange sqref="I10:K12" name="Rango26"/>
    <protectedRange sqref="F109:F112" name="Rango25"/>
    <protectedRange sqref="F97:F106" name="Rango24"/>
    <protectedRange sqref="F91:F94" name="Rango23"/>
    <protectedRange sqref="F78:F87" name="Rango22"/>
    <protectedRange sqref="E70:F73 F69 E58:E69 E123:F130 E119:E122" name="Rango21"/>
    <protectedRange sqref="F21:F29" name="Rango19"/>
    <protectedRange sqref="F5:F17" name="Rango18"/>
    <protectedRange sqref="B199:C199 B203:C210" name="Rango17"/>
    <protectedRange sqref="B183:C183 B187:C194" name="Rango16"/>
    <protectedRange sqref="B167:C167 B171:C178" name="Rango15"/>
    <protectedRange sqref="B151:C151 B155:C162" name="Rango14"/>
    <protectedRange sqref="B135:C135 B139:C146" name="Rango13"/>
    <protectedRange sqref="B135:C135 B139:C146" name="Rango12"/>
    <protectedRange sqref="B123:C130" name="Rango11"/>
    <protectedRange sqref="B123:C130" name="Rango10"/>
    <protectedRange sqref="B123:C130" name="Rango9"/>
    <protectedRange sqref="B107:C114" name="Rango8"/>
    <protectedRange sqref="B91:C98" name="Rango7"/>
    <protectedRange sqref="B75:C82" name="Rango6"/>
    <protectedRange sqref="B34:C65 B105:C106 B121:C122 B136:C138 B152:C154 B168:C170 B184:C186 B200:C202" name="Rango5"/>
    <protectedRange sqref="F5:F17" name="Rango3"/>
    <protectedRange sqref="C20:C23" name="Rango2"/>
    <protectedRange sqref="C9:C17" name="Rango1"/>
    <protectedRange sqref="C5:C8" name="Rango1_1"/>
    <protectedRange sqref="B71:C74" name="Rango6_1"/>
    <protectedRange sqref="B87:C90" name="Rango7_1"/>
    <protectedRange sqref="B103:C104" name="Rango8_1"/>
    <protectedRange sqref="B119:C120" name="Rango11_1"/>
    <protectedRange sqref="B119:C120" name="Rango10_1"/>
    <protectedRange sqref="B119:C120" name="Rango9_1"/>
    <protectedRange sqref="F58:F68 F119:F122" name="Rango21_1"/>
    <protectedRange sqref="C4" name="Rango1_1_1"/>
    <protectedRange sqref="F4" name="Rango18_1"/>
    <protectedRange sqref="F4" name="Rango3_1"/>
    <protectedRange sqref="K4:K9" name="Rango26_1"/>
    <protectedRange sqref="I4:J9" name="Rango26_2"/>
    <protectedRange sqref="O4" name="Rango37_1"/>
    <protectedRange sqref="M7:N7" name="Rango42_1"/>
    <protectedRange sqref="O7" name="Rango41_1"/>
    <protectedRange sqref="K20:K23" name="Rango27_1"/>
    <protectedRange sqref="K26:K29" name="Rango29_1"/>
    <protectedRange sqref="F20" name="Rango19_1"/>
    <protectedRange sqref="C26:C29" name="Rango4_1"/>
    <protectedRange sqref="E56:F57 F55 E49:E55" name="Rango21_2"/>
    <protectedRange sqref="E41:F48 F49:F54" name="Rango21_1_1"/>
    <protectedRange sqref="F33:F36" name="Rango20_1"/>
    <protectedRange sqref="J34:J36 J37:K54 I33:I54" name="Rango30_2"/>
    <protectedRange sqref="K33:K36" name="Rango30_1_1"/>
    <protectedRange sqref="M33:O37 M39:O44" name="Rango37_2"/>
    <protectedRange sqref="Q33:S33" name="Rango41_2"/>
    <protectedRange sqref="U33:V39" name="Rango42_2"/>
    <protectedRange sqref="W33:W39" name="Rango41_3"/>
    <protectedRange sqref="N80:N84" name="Rango38_1"/>
  </protectedRanges>
  <mergeCells count="190">
    <mergeCell ref="M44:N44"/>
    <mergeCell ref="I49:J49"/>
    <mergeCell ref="I50:J50"/>
    <mergeCell ref="I51:J51"/>
    <mergeCell ref="I52:J52"/>
    <mergeCell ref="I53:J53"/>
    <mergeCell ref="I44:J44"/>
    <mergeCell ref="I54:J54"/>
    <mergeCell ref="J88:K88"/>
    <mergeCell ref="M94:N94"/>
    <mergeCell ref="O94:P94"/>
    <mergeCell ref="M4:N4"/>
    <mergeCell ref="M3:O3"/>
    <mergeCell ref="I19:K19"/>
    <mergeCell ref="I74:J74"/>
    <mergeCell ref="M74:N74"/>
    <mergeCell ref="I94:J94"/>
    <mergeCell ref="J78:K78"/>
    <mergeCell ref="I80:K80"/>
    <mergeCell ref="J81:K81"/>
    <mergeCell ref="J82:K82"/>
    <mergeCell ref="J83:K83"/>
    <mergeCell ref="B1:O1"/>
    <mergeCell ref="I45:J45"/>
    <mergeCell ref="I46:J46"/>
    <mergeCell ref="I47:J47"/>
    <mergeCell ref="I48:J48"/>
    <mergeCell ref="J84:K84"/>
    <mergeCell ref="J85:K85"/>
    <mergeCell ref="J87:K87"/>
    <mergeCell ref="U2:W2"/>
    <mergeCell ref="P82:Q82"/>
    <mergeCell ref="B2:C2"/>
    <mergeCell ref="E2:F2"/>
    <mergeCell ref="I2:J2"/>
    <mergeCell ref="M2:O2"/>
    <mergeCell ref="Q2:S2"/>
    <mergeCell ref="E19:F19"/>
    <mergeCell ref="B19:C19"/>
    <mergeCell ref="B3:C3"/>
    <mergeCell ref="E3:F3"/>
    <mergeCell ref="I3:K3"/>
    <mergeCell ref="I4:J4"/>
    <mergeCell ref="I5:J5"/>
    <mergeCell ref="I6:J6"/>
    <mergeCell ref="I21:J21"/>
    <mergeCell ref="I22:J22"/>
    <mergeCell ref="I23:J23"/>
    <mergeCell ref="I7:J7"/>
    <mergeCell ref="I8:J8"/>
    <mergeCell ref="I9:J9"/>
    <mergeCell ref="I10:J10"/>
    <mergeCell ref="I11:J11"/>
    <mergeCell ref="I12:J12"/>
    <mergeCell ref="I20:J20"/>
    <mergeCell ref="Q32:S32"/>
    <mergeCell ref="U32:W32"/>
    <mergeCell ref="I25:J25"/>
    <mergeCell ref="I29:J29"/>
    <mergeCell ref="B32:C32"/>
    <mergeCell ref="E32:F32"/>
    <mergeCell ref="B25:C25"/>
    <mergeCell ref="I32:K32"/>
    <mergeCell ref="M32:O32"/>
    <mergeCell ref="Q34:R34"/>
    <mergeCell ref="U34:V34"/>
    <mergeCell ref="I33:J33"/>
    <mergeCell ref="M33:N33"/>
    <mergeCell ref="Q33:R33"/>
    <mergeCell ref="U33:V33"/>
    <mergeCell ref="I34:J34"/>
    <mergeCell ref="M34:N34"/>
    <mergeCell ref="U36:V36"/>
    <mergeCell ref="I35:J35"/>
    <mergeCell ref="M35:N35"/>
    <mergeCell ref="Q35:R35"/>
    <mergeCell ref="U35:V35"/>
    <mergeCell ref="I36:J36"/>
    <mergeCell ref="M36:N36"/>
    <mergeCell ref="M37:N37"/>
    <mergeCell ref="Q38:R38"/>
    <mergeCell ref="I37:J37"/>
    <mergeCell ref="Q37:R37"/>
    <mergeCell ref="M38:N38"/>
    <mergeCell ref="Q36:R36"/>
    <mergeCell ref="I39:J39"/>
    <mergeCell ref="M39:N39"/>
    <mergeCell ref="Q39:R39"/>
    <mergeCell ref="U39:V39"/>
    <mergeCell ref="E39:F39"/>
    <mergeCell ref="I38:J38"/>
    <mergeCell ref="I41:J41"/>
    <mergeCell ref="M41:N41"/>
    <mergeCell ref="Q41:R41"/>
    <mergeCell ref="U41:V41"/>
    <mergeCell ref="U38:V38"/>
    <mergeCell ref="U37:V37"/>
    <mergeCell ref="I40:J40"/>
    <mergeCell ref="M40:N40"/>
    <mergeCell ref="Q40:R40"/>
    <mergeCell ref="U40:V40"/>
    <mergeCell ref="I43:J43"/>
    <mergeCell ref="M43:N43"/>
    <mergeCell ref="Q43:R43"/>
    <mergeCell ref="U43:V43"/>
    <mergeCell ref="I42:J42"/>
    <mergeCell ref="M42:N42"/>
    <mergeCell ref="Q42:R42"/>
    <mergeCell ref="U42:V42"/>
    <mergeCell ref="U66:V66"/>
    <mergeCell ref="I67:J67"/>
    <mergeCell ref="M67:N67"/>
    <mergeCell ref="Q67:R67"/>
    <mergeCell ref="U67:V67"/>
    <mergeCell ref="I65:J65"/>
    <mergeCell ref="M65:N65"/>
    <mergeCell ref="Q65:R65"/>
    <mergeCell ref="U65:V65"/>
    <mergeCell ref="I68:J68"/>
    <mergeCell ref="M68:N68"/>
    <mergeCell ref="Q68:R68"/>
    <mergeCell ref="I66:J66"/>
    <mergeCell ref="M66:N66"/>
    <mergeCell ref="Q66:R66"/>
    <mergeCell ref="I70:J70"/>
    <mergeCell ref="M70:N70"/>
    <mergeCell ref="Q70:R70"/>
    <mergeCell ref="U70:V70"/>
    <mergeCell ref="B69:C69"/>
    <mergeCell ref="I69:J69"/>
    <mergeCell ref="M69:N69"/>
    <mergeCell ref="Q69:R69"/>
    <mergeCell ref="I72:J72"/>
    <mergeCell ref="M72:N72"/>
    <mergeCell ref="Q72:R72"/>
    <mergeCell ref="U72:V72"/>
    <mergeCell ref="U69:V69"/>
    <mergeCell ref="U68:V68"/>
    <mergeCell ref="I71:J71"/>
    <mergeCell ref="M71:N71"/>
    <mergeCell ref="Q71:R71"/>
    <mergeCell ref="U71:V71"/>
    <mergeCell ref="E77:F77"/>
    <mergeCell ref="Q74:R74"/>
    <mergeCell ref="I73:J73"/>
    <mergeCell ref="M73:N73"/>
    <mergeCell ref="Q73:R73"/>
    <mergeCell ref="U73:V73"/>
    <mergeCell ref="J77:K77"/>
    <mergeCell ref="J86:K86"/>
    <mergeCell ref="O87:P87"/>
    <mergeCell ref="O89:P89"/>
    <mergeCell ref="O90:P90"/>
    <mergeCell ref="U74:V74"/>
    <mergeCell ref="E75:F75"/>
    <mergeCell ref="I75:J75"/>
    <mergeCell ref="M75:N75"/>
    <mergeCell ref="Q75:R75"/>
    <mergeCell ref="U75:V75"/>
    <mergeCell ref="E139:F139"/>
    <mergeCell ref="B101:C101"/>
    <mergeCell ref="E108:F108"/>
    <mergeCell ref="B117:C117"/>
    <mergeCell ref="B85:C85"/>
    <mergeCell ref="E90:F90"/>
    <mergeCell ref="E96:F96"/>
    <mergeCell ref="B197:C197"/>
    <mergeCell ref="E203:F203"/>
    <mergeCell ref="B149:C149"/>
    <mergeCell ref="E155:F155"/>
    <mergeCell ref="B165:C165"/>
    <mergeCell ref="E171:F171"/>
    <mergeCell ref="B181:C181"/>
    <mergeCell ref="E187:F187"/>
    <mergeCell ref="M13:N13"/>
    <mergeCell ref="M12:N12"/>
    <mergeCell ref="O91:P91"/>
    <mergeCell ref="E117:F117"/>
    <mergeCell ref="B133:C133"/>
    <mergeCell ref="L91:M91"/>
    <mergeCell ref="L87:M87"/>
    <mergeCell ref="L88:M88"/>
    <mergeCell ref="L89:M89"/>
    <mergeCell ref="L90:M90"/>
    <mergeCell ref="M11:N11"/>
    <mergeCell ref="M10:N10"/>
    <mergeCell ref="M9:N9"/>
    <mergeCell ref="M8:N8"/>
    <mergeCell ref="M7:N7"/>
    <mergeCell ref="M6:O6"/>
  </mergeCells>
  <conditionalFormatting sqref="N88">
    <cfRule type="cellIs" priority="13" dxfId="0" operator="greaterThan" stopIfTrue="1">
      <formula>1</formula>
    </cfRule>
    <cfRule type="cellIs" priority="39" dxfId="36" operator="greaterThan" stopIfTrue="1">
      <formula>1</formula>
    </cfRule>
  </conditionalFormatting>
  <conditionalFormatting sqref="I78">
    <cfRule type="cellIs" priority="37" dxfId="36" operator="greaterThan" stopIfTrue="1">
      <formula>1</formula>
    </cfRule>
  </conditionalFormatting>
  <conditionalFormatting sqref="C67">
    <cfRule type="cellIs" priority="35" dxfId="36" operator="greaterThan" stopIfTrue="1">
      <formula>1</formula>
    </cfRule>
  </conditionalFormatting>
  <conditionalFormatting sqref="C83">
    <cfRule type="cellIs" priority="34" dxfId="36" operator="greaterThan" stopIfTrue="1">
      <formula>1</formula>
    </cfRule>
  </conditionalFormatting>
  <conditionalFormatting sqref="C99">
    <cfRule type="cellIs" priority="33" dxfId="36" operator="greaterThan" stopIfTrue="1">
      <formula>1</formula>
    </cfRule>
  </conditionalFormatting>
  <conditionalFormatting sqref="C115">
    <cfRule type="cellIs" priority="32" dxfId="36" operator="greaterThan" stopIfTrue="1">
      <formula>1</formula>
    </cfRule>
  </conditionalFormatting>
  <conditionalFormatting sqref="C131">
    <cfRule type="cellIs" priority="31" dxfId="36" operator="greaterThan" stopIfTrue="1">
      <formula>1</formula>
    </cfRule>
  </conditionalFormatting>
  <conditionalFormatting sqref="C147">
    <cfRule type="cellIs" priority="30" dxfId="36" operator="greaterThan" stopIfTrue="1">
      <formula>1</formula>
    </cfRule>
  </conditionalFormatting>
  <conditionalFormatting sqref="C163">
    <cfRule type="cellIs" priority="29" dxfId="36" operator="greaterThan" stopIfTrue="1">
      <formula>1</formula>
    </cfRule>
  </conditionalFormatting>
  <conditionalFormatting sqref="C179">
    <cfRule type="cellIs" priority="28" dxfId="36" operator="greaterThan" stopIfTrue="1">
      <formula>1</formula>
    </cfRule>
  </conditionalFormatting>
  <conditionalFormatting sqref="C195">
    <cfRule type="cellIs" priority="27" dxfId="36" operator="greaterThan" stopIfTrue="1">
      <formula>1</formula>
    </cfRule>
  </conditionalFormatting>
  <conditionalFormatting sqref="C211">
    <cfRule type="cellIs" priority="26" dxfId="36" operator="greaterThan" stopIfTrue="1">
      <formula>1</formula>
    </cfRule>
  </conditionalFormatting>
  <conditionalFormatting sqref="F88">
    <cfRule type="cellIs" priority="25" dxfId="36" operator="greaterThan" stopIfTrue="1">
      <formula>1</formula>
    </cfRule>
  </conditionalFormatting>
  <conditionalFormatting sqref="K13:K17">
    <cfRule type="cellIs" priority="24" dxfId="36" operator="greaterThan" stopIfTrue="1">
      <formula>1</formula>
    </cfRule>
  </conditionalFormatting>
  <conditionalFormatting sqref="K74">
    <cfRule type="cellIs" priority="23" dxfId="36" operator="greaterThan" stopIfTrue="1">
      <formula>1</formula>
    </cfRule>
  </conditionalFormatting>
  <conditionalFormatting sqref="K75">
    <cfRule type="cellIs" priority="22" dxfId="36" operator="greaterThan" stopIfTrue="1">
      <formula>1</formula>
    </cfRule>
  </conditionalFormatting>
  <conditionalFormatting sqref="O74">
    <cfRule type="cellIs" priority="21" dxfId="36" operator="greaterThan" stopIfTrue="1">
      <formula>1</formula>
    </cfRule>
  </conditionalFormatting>
  <conditionalFormatting sqref="O75">
    <cfRule type="cellIs" priority="20" dxfId="36" operator="greaterThan" stopIfTrue="1">
      <formula>1</formula>
    </cfRule>
  </conditionalFormatting>
  <conditionalFormatting sqref="S74">
    <cfRule type="cellIs" priority="19" dxfId="36" operator="greaterThan" stopIfTrue="1">
      <formula>1</formula>
    </cfRule>
  </conditionalFormatting>
  <conditionalFormatting sqref="S75">
    <cfRule type="cellIs" priority="18" dxfId="36" operator="greaterThan" stopIfTrue="1">
      <formula>1</formula>
    </cfRule>
  </conditionalFormatting>
  <conditionalFormatting sqref="W74">
    <cfRule type="cellIs" priority="17" dxfId="36" operator="greaterThan" stopIfTrue="1">
      <formula>1</formula>
    </cfRule>
  </conditionalFormatting>
  <conditionalFormatting sqref="W75">
    <cfRule type="cellIs" priority="16" dxfId="36" operator="greaterThan" stopIfTrue="1">
      <formula>1</formula>
    </cfRule>
  </conditionalFormatting>
  <conditionalFormatting sqref="N85">
    <cfRule type="cellIs" priority="15" dxfId="36" operator="greaterThan" stopIfTrue="1">
      <formula>1</formula>
    </cfRule>
  </conditionalFormatting>
  <conditionalFormatting sqref="N87">
    <cfRule type="cellIs" priority="14" dxfId="36" operator="greaterThan" stopIfTrue="1">
      <formula>1</formula>
    </cfRule>
  </conditionalFormatting>
  <conditionalFormatting sqref="N89">
    <cfRule type="cellIs" priority="12" dxfId="36" operator="greaterThan" stopIfTrue="1">
      <formula>1</formula>
    </cfRule>
  </conditionalFormatting>
  <conditionalFormatting sqref="F131">
    <cfRule type="cellIs" priority="11" dxfId="36" operator="greaterThan" stopIfTrue="1">
      <formula>1</formula>
    </cfRule>
  </conditionalFormatting>
  <conditionalFormatting sqref="J78">
    <cfRule type="cellIs" priority="10" dxfId="36" operator="greaterThan" stopIfTrue="1">
      <formula>1</formula>
    </cfRule>
  </conditionalFormatting>
  <conditionalFormatting sqref="O94:P94">
    <cfRule type="dataBar" priority="9" dxfId="0">
      <dataBar minLength="0" maxLength="100">
        <cfvo type="min"/>
        <cfvo type="max"/>
        <color rgb="FF63C384"/>
      </dataBar>
      <extLst>
        <ext xmlns:x14="http://schemas.microsoft.com/office/spreadsheetml/2009/9/main" uri="{B025F937-C7B1-47D3-B67F-A62EFF666E3E}">
          <x14:id>{287b1559-c01b-4792-a94c-61492387994a}</x14:id>
        </ext>
      </extLst>
    </cfRule>
  </conditionalFormatting>
  <conditionalFormatting sqref="K94">
    <cfRule type="dataBar" priority="8" dxfId="0">
      <dataBar minLength="0" maxLength="100">
        <cfvo type="min"/>
        <cfvo type="max"/>
        <color rgb="FF63C384"/>
      </dataBar>
      <extLst>
        <ext xmlns:x14="http://schemas.microsoft.com/office/spreadsheetml/2009/9/main" uri="{B025F937-C7B1-47D3-B67F-A62EFF666E3E}">
          <x14:id>{c4d6064e-5e3f-4781-a3cb-501cb16b4f00}</x14:id>
        </ext>
      </extLst>
    </cfRule>
  </conditionalFormatting>
  <conditionalFormatting sqref="F74">
    <cfRule type="cellIs" priority="6" dxfId="36" operator="greaterThan" stopIfTrue="1">
      <formula>1</formula>
    </cfRule>
  </conditionalFormatting>
  <conditionalFormatting sqref="O12">
    <cfRule type="cellIs" priority="2" dxfId="36" operator="greaterThan" stopIfTrue="1">
      <formula>1</formula>
    </cfRule>
  </conditionalFormatting>
  <conditionalFormatting sqref="O13">
    <cfRule type="cellIs" priority="1" dxfId="36" operator="greaterThan" stopIfTrue="1">
      <formula>1</formula>
    </cfRule>
  </conditionalFormatting>
  <printOptions/>
  <pageMargins left="0.3937007874015748" right="0.3937007874015748" top="0.3937007874015748" bottom="0.3937007874015748" header="0.31496062992125984" footer="0.31496062992125984"/>
  <pageSetup horizontalDpi="300" verticalDpi="300" orientation="landscape" paperSize="9" r:id="rId4"/>
  <drawing r:id="rId3"/>
  <legacyDrawing r:id="rId2"/>
  <extLst>
    <ext xmlns:x14="http://schemas.microsoft.com/office/spreadsheetml/2009/9/main" uri="{78C0D931-6437-407d-A8EE-F0AAD7539E65}">
      <x14:conditionalFormattings>
        <x14:conditionalFormatting xmlns:xm="http://schemas.microsoft.com/office/excel/2006/main">
          <x14:cfRule type="dataBar" id="{287b1559-c01b-4792-a94c-61492387994a}">
            <x14:dataBar minLength="0" maxLength="100" gradient="0">
              <x14:cfvo type="min"/>
              <x14:cfvo type="max"/>
              <x14:negativeFillColor rgb="FFFF0000"/>
              <x14:axisColor rgb="FF000000"/>
            </x14:dataBar>
            <x14:dxf/>
          </x14:cfRule>
          <xm:sqref>O94:P94</xm:sqref>
        </x14:conditionalFormatting>
        <x14:conditionalFormatting xmlns:xm="http://schemas.microsoft.com/office/excel/2006/main">
          <x14:cfRule type="dataBar" id="{c4d6064e-5e3f-4781-a3cb-501cb16b4f00}">
            <x14:dataBar minLength="0" maxLength="100" gradient="0">
              <x14:cfvo type="min"/>
              <x14:cfvo type="max"/>
              <x14:negativeFillColor rgb="FFFF0000"/>
              <x14:axisColor rgb="FF000000"/>
            </x14:dataBar>
            <x14:dxf/>
          </x14:cfRule>
          <xm:sqref>K94</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tabColor theme="3" tint="-0.24997000396251678"/>
  </sheetPr>
  <dimension ref="B1:AH22"/>
  <sheetViews>
    <sheetView zoomScale="60" zoomScaleNormal="60" zoomScalePageLayoutView="0" workbookViewId="0" topLeftCell="B1">
      <selection activeCell="C16" sqref="C16"/>
    </sheetView>
  </sheetViews>
  <sheetFormatPr defaultColWidth="11.421875" defaultRowHeight="15"/>
  <cols>
    <col min="1" max="1" width="1.28515625" style="12" customWidth="1"/>
    <col min="2" max="2" width="26.28125" style="12" bestFit="1" customWidth="1"/>
    <col min="3" max="4" width="13.421875" style="12" bestFit="1" customWidth="1"/>
    <col min="5" max="5" width="19.7109375" style="12" bestFit="1" customWidth="1"/>
    <col min="6" max="6" width="1.28515625" style="12" customWidth="1"/>
    <col min="7" max="7" width="26.8515625" style="12" bestFit="1" customWidth="1"/>
    <col min="8" max="8" width="5.140625" style="12" bestFit="1" customWidth="1"/>
    <col min="9" max="9" width="13.421875" style="12" bestFit="1" customWidth="1"/>
    <col min="10" max="10" width="12.28125" style="12" bestFit="1" customWidth="1"/>
    <col min="11" max="11" width="12.00390625" style="12" bestFit="1" customWidth="1"/>
    <col min="12" max="12" width="20.421875" style="12" bestFit="1" customWidth="1"/>
    <col min="13" max="13" width="1.421875" style="12" customWidth="1"/>
    <col min="14" max="14" width="26.8515625" style="12" bestFit="1" customWidth="1"/>
    <col min="15" max="15" width="5.140625" style="12" bestFit="1" customWidth="1"/>
    <col min="16" max="16" width="13.421875" style="12" bestFit="1" customWidth="1"/>
    <col min="17" max="17" width="12.57421875" style="12" bestFit="1" customWidth="1"/>
    <col min="18" max="18" width="13.421875" style="12" bestFit="1" customWidth="1"/>
    <col min="19" max="19" width="19.7109375" style="12" bestFit="1" customWidth="1"/>
    <col min="20" max="20" width="1.28515625" style="12" customWidth="1"/>
    <col min="21" max="21" width="26.8515625" style="12" bestFit="1" customWidth="1"/>
    <col min="22" max="22" width="5.140625" style="12" bestFit="1" customWidth="1"/>
    <col min="23" max="23" width="11.8515625" style="12" bestFit="1" customWidth="1"/>
    <col min="24" max="24" width="12.28125" style="12" bestFit="1" customWidth="1"/>
    <col min="25" max="25" width="13.28125" style="12" bestFit="1" customWidth="1"/>
    <col min="26" max="26" width="20.140625" style="12" bestFit="1" customWidth="1"/>
    <col min="27" max="27" width="1.57421875" style="12" customWidth="1"/>
    <col min="28" max="28" width="26.8515625" style="12" bestFit="1" customWidth="1"/>
    <col min="29" max="29" width="5.140625" style="12" bestFit="1" customWidth="1"/>
    <col min="30" max="30" width="11.8515625" style="12" bestFit="1" customWidth="1"/>
    <col min="31" max="31" width="12.28125" style="12" bestFit="1" customWidth="1"/>
    <col min="32" max="32" width="13.28125" style="12" bestFit="1" customWidth="1"/>
    <col min="33" max="33" width="19.8515625" style="12" bestFit="1" customWidth="1"/>
    <col min="34" max="16384" width="11.421875" style="12" customWidth="1"/>
  </cols>
  <sheetData>
    <row r="1" spans="2:34" ht="15.75" thickBot="1">
      <c r="B1" s="604" t="s">
        <v>36</v>
      </c>
      <c r="C1" s="605"/>
      <c r="D1" s="605"/>
      <c r="E1" s="606"/>
      <c r="G1" s="611" t="s">
        <v>37</v>
      </c>
      <c r="H1" s="612"/>
      <c r="I1" s="612"/>
      <c r="J1" s="612"/>
      <c r="K1" s="612"/>
      <c r="L1" s="613"/>
      <c r="N1" s="607" t="s">
        <v>38</v>
      </c>
      <c r="O1" s="608"/>
      <c r="P1" s="608"/>
      <c r="Q1" s="608"/>
      <c r="R1" s="608"/>
      <c r="S1" s="609"/>
      <c r="U1" s="604" t="s">
        <v>39</v>
      </c>
      <c r="V1" s="605"/>
      <c r="W1" s="605"/>
      <c r="X1" s="605"/>
      <c r="Y1" s="605"/>
      <c r="Z1" s="606"/>
      <c r="AB1" s="604" t="s">
        <v>40</v>
      </c>
      <c r="AC1" s="605"/>
      <c r="AD1" s="605"/>
      <c r="AE1" s="605"/>
      <c r="AF1" s="605"/>
      <c r="AG1" s="606"/>
      <c r="AH1" s="13"/>
    </row>
    <row r="2" spans="2:33" ht="15">
      <c r="B2" s="208" t="s">
        <v>0</v>
      </c>
      <c r="C2" s="209" t="s">
        <v>1</v>
      </c>
      <c r="D2" s="209" t="s">
        <v>3</v>
      </c>
      <c r="E2" s="210" t="s">
        <v>41</v>
      </c>
      <c r="G2" s="211" t="s">
        <v>0</v>
      </c>
      <c r="H2" s="212"/>
      <c r="I2" s="212" t="s">
        <v>1</v>
      </c>
      <c r="J2" s="212"/>
      <c r="K2" s="212" t="s">
        <v>3</v>
      </c>
      <c r="L2" s="213" t="s">
        <v>41</v>
      </c>
      <c r="N2" s="205" t="s">
        <v>0</v>
      </c>
      <c r="O2" s="206"/>
      <c r="P2" s="206" t="s">
        <v>1</v>
      </c>
      <c r="Q2" s="206"/>
      <c r="R2" s="206" t="s">
        <v>3</v>
      </c>
      <c r="S2" s="207" t="s">
        <v>41</v>
      </c>
      <c r="U2" s="214" t="s">
        <v>0</v>
      </c>
      <c r="V2" s="215"/>
      <c r="W2" s="215" t="s">
        <v>1</v>
      </c>
      <c r="X2" s="215"/>
      <c r="Y2" s="215" t="s">
        <v>3</v>
      </c>
      <c r="Z2" s="216" t="s">
        <v>41</v>
      </c>
      <c r="AB2" s="201" t="s">
        <v>0</v>
      </c>
      <c r="AC2" s="202"/>
      <c r="AD2" s="202" t="s">
        <v>1</v>
      </c>
      <c r="AE2" s="202"/>
      <c r="AF2" s="202" t="s">
        <v>3</v>
      </c>
      <c r="AG2" s="203" t="s">
        <v>41</v>
      </c>
    </row>
    <row r="3" spans="2:33" ht="15">
      <c r="B3" s="178" t="str">
        <f>+DATOS!C4</f>
        <v>cocina estandar  2 Mt2</v>
      </c>
      <c r="C3" s="180">
        <f>+DATOS!F4</f>
        <v>267</v>
      </c>
      <c r="D3" s="177">
        <f>+DATOS!F20</f>
        <v>3700000</v>
      </c>
      <c r="E3" s="181">
        <f>+C3*D3</f>
        <v>987900000</v>
      </c>
      <c r="G3" s="193" t="str">
        <f>+B3</f>
        <v>cocina estandar  2 Mt2</v>
      </c>
      <c r="H3" s="186">
        <f>C3*DATOS!$C$20+'PRESUPUESTOS DE VENTA  '!C3</f>
        <v>278.748</v>
      </c>
      <c r="I3" s="176">
        <f>ROUNDUP(H3,0)</f>
        <v>279</v>
      </c>
      <c r="J3" s="176">
        <f>D3*DATOS!$C$26+'PRESUPUESTOS DE VENTA  '!D3</f>
        <v>3862800</v>
      </c>
      <c r="K3" s="176">
        <f>ROUNDUP(J3,0)</f>
        <v>3862800</v>
      </c>
      <c r="L3" s="194">
        <f>+I3*K3</f>
        <v>1077721200</v>
      </c>
      <c r="N3" s="178" t="str">
        <f>+G3</f>
        <v>cocina estandar  2 Mt2</v>
      </c>
      <c r="O3" s="179">
        <f>+I3*DATOS!$C$21+'PRESUPUESTOS DE VENTA  '!I3</f>
        <v>291.276</v>
      </c>
      <c r="P3" s="180">
        <f>ROUNDUP(O3,0)-1</f>
        <v>291</v>
      </c>
      <c r="Q3" s="180">
        <f>+K3*DATOS!$C$27+'PRESUPUESTOS DE VENTA  '!K3</f>
        <v>4032763.2</v>
      </c>
      <c r="R3" s="177">
        <f>ROUNDUP(Q3,0)</f>
        <v>4032764</v>
      </c>
      <c r="S3" s="181">
        <f>+P3*R3</f>
        <v>1173534324</v>
      </c>
      <c r="U3" s="193" t="str">
        <f>+N3</f>
        <v>cocina estandar  2 Mt2</v>
      </c>
      <c r="V3" s="186">
        <f>P3*DATOS!$C$22+P3</f>
        <v>303.804</v>
      </c>
      <c r="W3" s="176">
        <f>ROUNDUP(V3,0)</f>
        <v>304</v>
      </c>
      <c r="X3" s="176">
        <f>R3*DATOS!$C$28+'PRESUPUESTOS DE VENTA  '!R3</f>
        <v>4210205.616</v>
      </c>
      <c r="Y3" s="187">
        <f>ROUNDUP(X3,0)</f>
        <v>4210206</v>
      </c>
      <c r="Z3" s="194">
        <f>+W3*Y3</f>
        <v>1279902624</v>
      </c>
      <c r="AB3" s="178" t="str">
        <f>+U3</f>
        <v>cocina estandar  2 Mt2</v>
      </c>
      <c r="AC3" s="179">
        <f>W3*DATOS!$C$23+'PRESUPUESTOS DE VENTA  '!W3</f>
        <v>317.376</v>
      </c>
      <c r="AD3" s="180">
        <f>ROUNDUP(AC3,0)-1</f>
        <v>317</v>
      </c>
      <c r="AE3" s="180">
        <f>Y3*DATOS!$C$29+'PRESUPUESTOS DE VENTA  '!Y3</f>
        <v>4395455.064</v>
      </c>
      <c r="AF3" s="177">
        <f>ROUNDUP(AE3,0)</f>
        <v>4395456</v>
      </c>
      <c r="AG3" s="181">
        <f>+AD3*AF3</f>
        <v>1393359552</v>
      </c>
    </row>
    <row r="4" spans="2:33" ht="15">
      <c r="B4" s="178">
        <f>+DATOS!C5</f>
        <v>0</v>
      </c>
      <c r="C4" s="180">
        <f>+DATOS!F5</f>
        <v>0</v>
      </c>
      <c r="D4" s="177">
        <f>+DATOS!F21</f>
        <v>0</v>
      </c>
      <c r="E4" s="181">
        <f aca="true" t="shared" si="0" ref="E4:E12">+C4*D4</f>
        <v>0</v>
      </c>
      <c r="G4" s="193">
        <f aca="true" t="shared" si="1" ref="G4:G12">+B4</f>
        <v>0</v>
      </c>
      <c r="H4" s="186">
        <f>C4*DATOS!$C$20+'PRESUPUESTOS DE VENTA  '!C4</f>
        <v>0</v>
      </c>
      <c r="I4" s="176">
        <f aca="true" t="shared" si="2" ref="I4:I12">ROUNDUP(H4,0)</f>
        <v>0</v>
      </c>
      <c r="J4" s="186">
        <f>D4*DATOS!$C$26+'PRESUPUESTOS DE VENTA  '!D4</f>
        <v>0</v>
      </c>
      <c r="K4" s="176">
        <f aca="true" t="shared" si="3" ref="K4:K12">ROUNDUP(J4,0)</f>
        <v>0</v>
      </c>
      <c r="L4" s="194">
        <f aca="true" t="shared" si="4" ref="L4:L12">+I4*K4</f>
        <v>0</v>
      </c>
      <c r="N4" s="178">
        <f aca="true" t="shared" si="5" ref="N4:N12">+G4</f>
        <v>0</v>
      </c>
      <c r="O4" s="179">
        <f>+I4*DATOS!$C$21+'PRESUPUESTOS DE VENTA  '!I4</f>
        <v>0</v>
      </c>
      <c r="P4" s="180">
        <f aca="true" t="shared" si="6" ref="P4:P12">ROUNDUP(O4,0)</f>
        <v>0</v>
      </c>
      <c r="Q4" s="189">
        <f>+K4*DATOS!$C$27+'PRESUPUESTOS DE VENTA  '!K4</f>
        <v>0</v>
      </c>
      <c r="R4" s="177">
        <f aca="true" t="shared" si="7" ref="R4:R12">ROUNDUP(Q4,0)</f>
        <v>0</v>
      </c>
      <c r="S4" s="181">
        <f aca="true" t="shared" si="8" ref="S4:S12">+P4*R4</f>
        <v>0</v>
      </c>
      <c r="U4" s="193">
        <f aca="true" t="shared" si="9" ref="U4:U12">+N4</f>
        <v>0</v>
      </c>
      <c r="V4" s="186">
        <f>P4*DATOS!$C$22+P4</f>
        <v>0</v>
      </c>
      <c r="W4" s="176">
        <f aca="true" t="shared" si="10" ref="W4:W12">ROUNDUP(V4,0)</f>
        <v>0</v>
      </c>
      <c r="X4" s="186">
        <f>R4*DATOS!$C$28+'PRESUPUESTOS DE VENTA  '!R4</f>
        <v>0</v>
      </c>
      <c r="Y4" s="187">
        <f aca="true" t="shared" si="11" ref="Y4:Y12">ROUNDUP(X4,0)</f>
        <v>0</v>
      </c>
      <c r="Z4" s="194">
        <f aca="true" t="shared" si="12" ref="Z4:Z12">+W4*Y4</f>
        <v>0</v>
      </c>
      <c r="AB4" s="178">
        <f aca="true" t="shared" si="13" ref="AB4:AB12">+U4</f>
        <v>0</v>
      </c>
      <c r="AC4" s="179">
        <f>W4*DATOS!$C$23+'PRESUPUESTOS DE VENTA  '!W4</f>
        <v>0</v>
      </c>
      <c r="AD4" s="180">
        <f aca="true" t="shared" si="14" ref="AD4:AD12">ROUNDUP(AC4,0)</f>
        <v>0</v>
      </c>
      <c r="AE4" s="179">
        <f>Y4*DATOS!$C$29+'PRESUPUESTOS DE VENTA  '!Y4</f>
        <v>0</v>
      </c>
      <c r="AF4" s="177">
        <f aca="true" t="shared" si="15" ref="AF4:AF12">ROUNDUP(AE4,0)</f>
        <v>0</v>
      </c>
      <c r="AG4" s="181">
        <f aca="true" t="shared" si="16" ref="AG4:AG12">+AD4*AF4</f>
        <v>0</v>
      </c>
    </row>
    <row r="5" spans="2:33" ht="15">
      <c r="B5" s="178">
        <f>+DATOS!C6</f>
        <v>0</v>
      </c>
      <c r="C5" s="180">
        <f>+DATOS!F6</f>
        <v>0</v>
      </c>
      <c r="D5" s="177">
        <f>+DATOS!F22</f>
        <v>0</v>
      </c>
      <c r="E5" s="181">
        <f t="shared" si="0"/>
        <v>0</v>
      </c>
      <c r="G5" s="193">
        <f t="shared" si="1"/>
        <v>0</v>
      </c>
      <c r="H5" s="186">
        <f>C5*DATOS!$C$20+'PRESUPUESTOS DE VENTA  '!C5</f>
        <v>0</v>
      </c>
      <c r="I5" s="176">
        <f t="shared" si="2"/>
        <v>0</v>
      </c>
      <c r="J5" s="186">
        <f>D5*DATOS!$C$26+'PRESUPUESTOS DE VENTA  '!D5</f>
        <v>0</v>
      </c>
      <c r="K5" s="176">
        <f t="shared" si="3"/>
        <v>0</v>
      </c>
      <c r="L5" s="194">
        <f t="shared" si="4"/>
        <v>0</v>
      </c>
      <c r="N5" s="178">
        <f t="shared" si="5"/>
        <v>0</v>
      </c>
      <c r="O5" s="179">
        <f>+I5*DATOS!$C$21+'PRESUPUESTOS DE VENTA  '!I5</f>
        <v>0</v>
      </c>
      <c r="P5" s="180">
        <f t="shared" si="6"/>
        <v>0</v>
      </c>
      <c r="Q5" s="179">
        <f>+K5*DATOS!$C$27+'PRESUPUESTOS DE VENTA  '!K5</f>
        <v>0</v>
      </c>
      <c r="R5" s="177">
        <f t="shared" si="7"/>
        <v>0</v>
      </c>
      <c r="S5" s="181">
        <f t="shared" si="8"/>
        <v>0</v>
      </c>
      <c r="U5" s="193">
        <f t="shared" si="9"/>
        <v>0</v>
      </c>
      <c r="V5" s="186">
        <f>P5*DATOS!$C$22+P5</f>
        <v>0</v>
      </c>
      <c r="W5" s="176">
        <f t="shared" si="10"/>
        <v>0</v>
      </c>
      <c r="X5" s="186">
        <f>R5*DATOS!$C$28+'PRESUPUESTOS DE VENTA  '!R5</f>
        <v>0</v>
      </c>
      <c r="Y5" s="187">
        <f t="shared" si="11"/>
        <v>0</v>
      </c>
      <c r="Z5" s="194">
        <f t="shared" si="12"/>
        <v>0</v>
      </c>
      <c r="AB5" s="178">
        <f t="shared" si="13"/>
        <v>0</v>
      </c>
      <c r="AC5" s="179">
        <f>W5*DATOS!$C$23+'PRESUPUESTOS DE VENTA  '!W5</f>
        <v>0</v>
      </c>
      <c r="AD5" s="180">
        <f t="shared" si="14"/>
        <v>0</v>
      </c>
      <c r="AE5" s="179">
        <f>Y5*DATOS!$C$29+'PRESUPUESTOS DE VENTA  '!Y5</f>
        <v>0</v>
      </c>
      <c r="AF5" s="177">
        <f t="shared" si="15"/>
        <v>0</v>
      </c>
      <c r="AG5" s="181">
        <f t="shared" si="16"/>
        <v>0</v>
      </c>
    </row>
    <row r="6" spans="2:33" ht="15">
      <c r="B6" s="178">
        <f>+DATOS!C7</f>
        <v>0</v>
      </c>
      <c r="C6" s="180">
        <f>+DATOS!F7</f>
        <v>0</v>
      </c>
      <c r="D6" s="177">
        <f>+DATOS!F23</f>
        <v>0</v>
      </c>
      <c r="E6" s="181">
        <f t="shared" si="0"/>
        <v>0</v>
      </c>
      <c r="G6" s="193">
        <f t="shared" si="1"/>
        <v>0</v>
      </c>
      <c r="H6" s="186">
        <f>C6*DATOS!$C$20+'PRESUPUESTOS DE VENTA  '!C6</f>
        <v>0</v>
      </c>
      <c r="I6" s="176">
        <f t="shared" si="2"/>
        <v>0</v>
      </c>
      <c r="J6" s="186">
        <f>D6*DATOS!$C$26+'PRESUPUESTOS DE VENTA  '!D6</f>
        <v>0</v>
      </c>
      <c r="K6" s="176">
        <f t="shared" si="3"/>
        <v>0</v>
      </c>
      <c r="L6" s="194">
        <f t="shared" si="4"/>
        <v>0</v>
      </c>
      <c r="N6" s="178">
        <f t="shared" si="5"/>
        <v>0</v>
      </c>
      <c r="O6" s="179">
        <f>+I6*DATOS!$C$21+'PRESUPUESTOS DE VENTA  '!I6</f>
        <v>0</v>
      </c>
      <c r="P6" s="180">
        <f t="shared" si="6"/>
        <v>0</v>
      </c>
      <c r="Q6" s="179">
        <f>+K6*DATOS!$C$27+'PRESUPUESTOS DE VENTA  '!K6</f>
        <v>0</v>
      </c>
      <c r="R6" s="177">
        <f t="shared" si="7"/>
        <v>0</v>
      </c>
      <c r="S6" s="181">
        <f t="shared" si="8"/>
        <v>0</v>
      </c>
      <c r="U6" s="193">
        <f t="shared" si="9"/>
        <v>0</v>
      </c>
      <c r="V6" s="186">
        <f>P6*DATOS!$C$22+P6</f>
        <v>0</v>
      </c>
      <c r="W6" s="176">
        <f t="shared" si="10"/>
        <v>0</v>
      </c>
      <c r="X6" s="186">
        <f>R6*DATOS!$C$28+'PRESUPUESTOS DE VENTA  '!R6</f>
        <v>0</v>
      </c>
      <c r="Y6" s="187">
        <f t="shared" si="11"/>
        <v>0</v>
      </c>
      <c r="Z6" s="194">
        <f t="shared" si="12"/>
        <v>0</v>
      </c>
      <c r="AB6" s="178">
        <f t="shared" si="13"/>
        <v>0</v>
      </c>
      <c r="AC6" s="179">
        <f>W6*DATOS!$C$23+'PRESUPUESTOS DE VENTA  '!W6</f>
        <v>0</v>
      </c>
      <c r="AD6" s="180">
        <f t="shared" si="14"/>
        <v>0</v>
      </c>
      <c r="AE6" s="179">
        <f>Y6*DATOS!$C$29+'PRESUPUESTOS DE VENTA  '!Y6</f>
        <v>0</v>
      </c>
      <c r="AF6" s="177">
        <f t="shared" si="15"/>
        <v>0</v>
      </c>
      <c r="AG6" s="181">
        <f t="shared" si="16"/>
        <v>0</v>
      </c>
    </row>
    <row r="7" spans="2:33" ht="15">
      <c r="B7" s="178">
        <f>+DATOS!C8</f>
        <v>0</v>
      </c>
      <c r="C7" s="180">
        <f>+DATOS!F8</f>
        <v>0</v>
      </c>
      <c r="D7" s="177">
        <f>+DATOS!F24</f>
        <v>0</v>
      </c>
      <c r="E7" s="181">
        <f t="shared" si="0"/>
        <v>0</v>
      </c>
      <c r="G7" s="193">
        <f t="shared" si="1"/>
        <v>0</v>
      </c>
      <c r="H7" s="186">
        <f>C7*DATOS!$C$20+'PRESUPUESTOS DE VENTA  '!C7</f>
        <v>0</v>
      </c>
      <c r="I7" s="186">
        <f t="shared" si="2"/>
        <v>0</v>
      </c>
      <c r="J7" s="186">
        <f>D7*DATOS!$C$26+'PRESUPUESTOS DE VENTA  '!D7</f>
        <v>0</v>
      </c>
      <c r="K7" s="176">
        <f t="shared" si="3"/>
        <v>0</v>
      </c>
      <c r="L7" s="194">
        <f t="shared" si="4"/>
        <v>0</v>
      </c>
      <c r="N7" s="178">
        <f t="shared" si="5"/>
        <v>0</v>
      </c>
      <c r="O7" s="179">
        <f>+I7*DATOS!$C$21+'PRESUPUESTOS DE VENTA  '!I7</f>
        <v>0</v>
      </c>
      <c r="P7" s="180">
        <f t="shared" si="6"/>
        <v>0</v>
      </c>
      <c r="Q7" s="179">
        <f>+K7*DATOS!$C$27+'PRESUPUESTOS DE VENTA  '!K7</f>
        <v>0</v>
      </c>
      <c r="R7" s="177">
        <f t="shared" si="7"/>
        <v>0</v>
      </c>
      <c r="S7" s="181">
        <f t="shared" si="8"/>
        <v>0</v>
      </c>
      <c r="U7" s="193">
        <f t="shared" si="9"/>
        <v>0</v>
      </c>
      <c r="V7" s="186">
        <f>P7*DATOS!$C$22+P7</f>
        <v>0</v>
      </c>
      <c r="W7" s="176">
        <f t="shared" si="10"/>
        <v>0</v>
      </c>
      <c r="X7" s="186">
        <f>R7*DATOS!$C$28+'PRESUPUESTOS DE VENTA  '!R7</f>
        <v>0</v>
      </c>
      <c r="Y7" s="187">
        <f t="shared" si="11"/>
        <v>0</v>
      </c>
      <c r="Z7" s="194">
        <f t="shared" si="12"/>
        <v>0</v>
      </c>
      <c r="AB7" s="178">
        <f t="shared" si="13"/>
        <v>0</v>
      </c>
      <c r="AC7" s="179">
        <f>W7*DATOS!$C$23+'PRESUPUESTOS DE VENTA  '!W7</f>
        <v>0</v>
      </c>
      <c r="AD7" s="180">
        <f t="shared" si="14"/>
        <v>0</v>
      </c>
      <c r="AE7" s="179">
        <f>Y7*DATOS!$C$29+'PRESUPUESTOS DE VENTA  '!Y7</f>
        <v>0</v>
      </c>
      <c r="AF7" s="177">
        <f t="shared" si="15"/>
        <v>0</v>
      </c>
      <c r="AG7" s="181">
        <f t="shared" si="16"/>
        <v>0</v>
      </c>
    </row>
    <row r="8" spans="2:33" ht="15">
      <c r="B8" s="178">
        <f>+DATOS!C9</f>
        <v>0</v>
      </c>
      <c r="C8" s="179">
        <f>+DATOS!F9</f>
        <v>0</v>
      </c>
      <c r="D8" s="179">
        <f>+DATOS!F25</f>
        <v>0</v>
      </c>
      <c r="E8" s="181">
        <f t="shared" si="0"/>
        <v>0</v>
      </c>
      <c r="G8" s="193">
        <f t="shared" si="1"/>
        <v>0</v>
      </c>
      <c r="H8" s="186">
        <f>C8*DATOS!$C$20+'PRESUPUESTOS DE VENTA  '!C8</f>
        <v>0</v>
      </c>
      <c r="I8" s="186">
        <f t="shared" si="2"/>
        <v>0</v>
      </c>
      <c r="J8" s="186">
        <f>D8*DATOS!$C$26+'PRESUPUESTOS DE VENTA  '!D8</f>
        <v>0</v>
      </c>
      <c r="K8" s="186">
        <f t="shared" si="3"/>
        <v>0</v>
      </c>
      <c r="L8" s="194">
        <f t="shared" si="4"/>
        <v>0</v>
      </c>
      <c r="N8" s="178">
        <f t="shared" si="5"/>
        <v>0</v>
      </c>
      <c r="O8" s="179">
        <f>+I8*DATOS!$C$21+'PRESUPUESTOS DE VENTA  '!I8</f>
        <v>0</v>
      </c>
      <c r="P8" s="179">
        <f t="shared" si="6"/>
        <v>0</v>
      </c>
      <c r="Q8" s="179">
        <f>+K8*DATOS!$C$27+'PRESUPUESTOS DE VENTA  '!K8</f>
        <v>0</v>
      </c>
      <c r="R8" s="179">
        <f t="shared" si="7"/>
        <v>0</v>
      </c>
      <c r="S8" s="181">
        <f t="shared" si="8"/>
        <v>0</v>
      </c>
      <c r="U8" s="193">
        <f t="shared" si="9"/>
        <v>0</v>
      </c>
      <c r="V8" s="186">
        <f>P8*DATOS!$C$22+P8</f>
        <v>0</v>
      </c>
      <c r="W8" s="186">
        <f t="shared" si="10"/>
        <v>0</v>
      </c>
      <c r="X8" s="186">
        <f>R8*DATOS!$C$28+'PRESUPUESTOS DE VENTA  '!R8</f>
        <v>0</v>
      </c>
      <c r="Y8" s="186">
        <f t="shared" si="11"/>
        <v>0</v>
      </c>
      <c r="Z8" s="194">
        <f t="shared" si="12"/>
        <v>0</v>
      </c>
      <c r="AB8" s="178">
        <f t="shared" si="13"/>
        <v>0</v>
      </c>
      <c r="AC8" s="179">
        <f>W8*DATOS!$C$23+'PRESUPUESTOS DE VENTA  '!W8</f>
        <v>0</v>
      </c>
      <c r="AD8" s="179">
        <f t="shared" si="14"/>
        <v>0</v>
      </c>
      <c r="AE8" s="179">
        <f>Y8*DATOS!$C$29+'PRESUPUESTOS DE VENTA  '!Y8</f>
        <v>0</v>
      </c>
      <c r="AF8" s="177">
        <f t="shared" si="15"/>
        <v>0</v>
      </c>
      <c r="AG8" s="181">
        <f t="shared" si="16"/>
        <v>0</v>
      </c>
    </row>
    <row r="9" spans="2:33" ht="15">
      <c r="B9" s="178">
        <f>+DATOS!C10</f>
        <v>0</v>
      </c>
      <c r="C9" s="179">
        <f>+DATOS!F10</f>
        <v>0</v>
      </c>
      <c r="D9" s="179">
        <f>+DATOS!F26</f>
        <v>0</v>
      </c>
      <c r="E9" s="181">
        <f t="shared" si="0"/>
        <v>0</v>
      </c>
      <c r="G9" s="193">
        <f t="shared" si="1"/>
        <v>0</v>
      </c>
      <c r="H9" s="186">
        <f>C9*DATOS!$C$20+'PRESUPUESTOS DE VENTA  '!C9</f>
        <v>0</v>
      </c>
      <c r="I9" s="186">
        <f t="shared" si="2"/>
        <v>0</v>
      </c>
      <c r="J9" s="186">
        <f>D9*DATOS!$C$26+'PRESUPUESTOS DE VENTA  '!D9</f>
        <v>0</v>
      </c>
      <c r="K9" s="186">
        <f t="shared" si="3"/>
        <v>0</v>
      </c>
      <c r="L9" s="194">
        <f t="shared" si="4"/>
        <v>0</v>
      </c>
      <c r="N9" s="178">
        <f t="shared" si="5"/>
        <v>0</v>
      </c>
      <c r="O9" s="179">
        <f>+I9*DATOS!$C$21+'PRESUPUESTOS DE VENTA  '!I9</f>
        <v>0</v>
      </c>
      <c r="P9" s="179">
        <f t="shared" si="6"/>
        <v>0</v>
      </c>
      <c r="Q9" s="179">
        <f>+K9*DATOS!$C$27+'PRESUPUESTOS DE VENTA  '!K9</f>
        <v>0</v>
      </c>
      <c r="R9" s="179">
        <f t="shared" si="7"/>
        <v>0</v>
      </c>
      <c r="S9" s="181">
        <f t="shared" si="8"/>
        <v>0</v>
      </c>
      <c r="U9" s="193">
        <f t="shared" si="9"/>
        <v>0</v>
      </c>
      <c r="V9" s="186">
        <f>P9*DATOS!$C$22+P9</f>
        <v>0</v>
      </c>
      <c r="W9" s="186">
        <f t="shared" si="10"/>
        <v>0</v>
      </c>
      <c r="X9" s="186">
        <f>R9*DATOS!$C$28+'PRESUPUESTOS DE VENTA  '!R9</f>
        <v>0</v>
      </c>
      <c r="Y9" s="186">
        <f t="shared" si="11"/>
        <v>0</v>
      </c>
      <c r="Z9" s="194">
        <f t="shared" si="12"/>
        <v>0</v>
      </c>
      <c r="AB9" s="178">
        <f t="shared" si="13"/>
        <v>0</v>
      </c>
      <c r="AC9" s="179">
        <f>W9*DATOS!$C$23+'PRESUPUESTOS DE VENTA  '!W9</f>
        <v>0</v>
      </c>
      <c r="AD9" s="179">
        <f t="shared" si="14"/>
        <v>0</v>
      </c>
      <c r="AE9" s="179">
        <f>Y9*DATOS!$C$29+'PRESUPUESTOS DE VENTA  '!Y9</f>
        <v>0</v>
      </c>
      <c r="AF9" s="177">
        <f t="shared" si="15"/>
        <v>0</v>
      </c>
      <c r="AG9" s="181">
        <f t="shared" si="16"/>
        <v>0</v>
      </c>
    </row>
    <row r="10" spans="2:33" ht="15">
      <c r="B10" s="178">
        <f>+DATOS!C11</f>
        <v>0</v>
      </c>
      <c r="C10" s="179">
        <f>+DATOS!F11</f>
        <v>0</v>
      </c>
      <c r="D10" s="179">
        <f>+DATOS!F27</f>
        <v>0</v>
      </c>
      <c r="E10" s="181">
        <f t="shared" si="0"/>
        <v>0</v>
      </c>
      <c r="G10" s="193">
        <f t="shared" si="1"/>
        <v>0</v>
      </c>
      <c r="H10" s="186">
        <f>C10*DATOS!$C$20+'PRESUPUESTOS DE VENTA  '!C10</f>
        <v>0</v>
      </c>
      <c r="I10" s="186">
        <f t="shared" si="2"/>
        <v>0</v>
      </c>
      <c r="J10" s="186">
        <f>D10*DATOS!$C$26+'PRESUPUESTOS DE VENTA  '!D10</f>
        <v>0</v>
      </c>
      <c r="K10" s="186">
        <f t="shared" si="3"/>
        <v>0</v>
      </c>
      <c r="L10" s="194">
        <f t="shared" si="4"/>
        <v>0</v>
      </c>
      <c r="N10" s="178">
        <f t="shared" si="5"/>
        <v>0</v>
      </c>
      <c r="O10" s="179">
        <f>+I10*DATOS!$C$21+'PRESUPUESTOS DE VENTA  '!I10</f>
        <v>0</v>
      </c>
      <c r="P10" s="179">
        <f t="shared" si="6"/>
        <v>0</v>
      </c>
      <c r="Q10" s="179">
        <f>+K10*DATOS!$C$27+'PRESUPUESTOS DE VENTA  '!K10</f>
        <v>0</v>
      </c>
      <c r="R10" s="179">
        <f t="shared" si="7"/>
        <v>0</v>
      </c>
      <c r="S10" s="181">
        <f t="shared" si="8"/>
        <v>0</v>
      </c>
      <c r="U10" s="193">
        <f t="shared" si="9"/>
        <v>0</v>
      </c>
      <c r="V10" s="186">
        <f>P10*DATOS!$C$22+P10</f>
        <v>0</v>
      </c>
      <c r="W10" s="186">
        <f t="shared" si="10"/>
        <v>0</v>
      </c>
      <c r="X10" s="186">
        <f>R10*DATOS!$C$28+'PRESUPUESTOS DE VENTA  '!R10</f>
        <v>0</v>
      </c>
      <c r="Y10" s="186">
        <f t="shared" si="11"/>
        <v>0</v>
      </c>
      <c r="Z10" s="194">
        <f t="shared" si="12"/>
        <v>0</v>
      </c>
      <c r="AB10" s="178">
        <f t="shared" si="13"/>
        <v>0</v>
      </c>
      <c r="AC10" s="179">
        <f>W10*DATOS!$C$23+'PRESUPUESTOS DE VENTA  '!W10</f>
        <v>0</v>
      </c>
      <c r="AD10" s="179">
        <f t="shared" si="14"/>
        <v>0</v>
      </c>
      <c r="AE10" s="179">
        <f>Y10*DATOS!$C$29+'PRESUPUESTOS DE VENTA  '!Y10</f>
        <v>0</v>
      </c>
      <c r="AF10" s="177">
        <f t="shared" si="15"/>
        <v>0</v>
      </c>
      <c r="AG10" s="181">
        <f t="shared" si="16"/>
        <v>0</v>
      </c>
    </row>
    <row r="11" spans="2:33" ht="15">
      <c r="B11" s="178">
        <f>+DATOS!C12</f>
        <v>0</v>
      </c>
      <c r="C11" s="179">
        <f>+DATOS!F12</f>
        <v>0</v>
      </c>
      <c r="D11" s="179">
        <f>+DATOS!F28</f>
        <v>0</v>
      </c>
      <c r="E11" s="181">
        <f t="shared" si="0"/>
        <v>0</v>
      </c>
      <c r="G11" s="193">
        <f t="shared" si="1"/>
        <v>0</v>
      </c>
      <c r="H11" s="186">
        <f>C11*DATOS!$C$20+'PRESUPUESTOS DE VENTA  '!C11</f>
        <v>0</v>
      </c>
      <c r="I11" s="186">
        <f t="shared" si="2"/>
        <v>0</v>
      </c>
      <c r="J11" s="186">
        <f>D11*DATOS!$C$26+'PRESUPUESTOS DE VENTA  '!D11</f>
        <v>0</v>
      </c>
      <c r="K11" s="186">
        <f t="shared" si="3"/>
        <v>0</v>
      </c>
      <c r="L11" s="194">
        <f t="shared" si="4"/>
        <v>0</v>
      </c>
      <c r="N11" s="178">
        <f t="shared" si="5"/>
        <v>0</v>
      </c>
      <c r="O11" s="179">
        <f>+I11*DATOS!$C$21+'PRESUPUESTOS DE VENTA  '!I11</f>
        <v>0</v>
      </c>
      <c r="P11" s="179">
        <f t="shared" si="6"/>
        <v>0</v>
      </c>
      <c r="Q11" s="179">
        <f>+K11*DATOS!$C$27+'PRESUPUESTOS DE VENTA  '!K11</f>
        <v>0</v>
      </c>
      <c r="R11" s="179">
        <f t="shared" si="7"/>
        <v>0</v>
      </c>
      <c r="S11" s="181">
        <f t="shared" si="8"/>
        <v>0</v>
      </c>
      <c r="U11" s="193">
        <f t="shared" si="9"/>
        <v>0</v>
      </c>
      <c r="V11" s="186">
        <f>P11*DATOS!$C$22+P11</f>
        <v>0</v>
      </c>
      <c r="W11" s="186">
        <f t="shared" si="10"/>
        <v>0</v>
      </c>
      <c r="X11" s="186">
        <f>R11*DATOS!$C$28+'PRESUPUESTOS DE VENTA  '!R11</f>
        <v>0</v>
      </c>
      <c r="Y11" s="186">
        <f t="shared" si="11"/>
        <v>0</v>
      </c>
      <c r="Z11" s="194">
        <f t="shared" si="12"/>
        <v>0</v>
      </c>
      <c r="AB11" s="178">
        <f t="shared" si="13"/>
        <v>0</v>
      </c>
      <c r="AC11" s="179">
        <f>W11*DATOS!$C$23+'PRESUPUESTOS DE VENTA  '!W11</f>
        <v>0</v>
      </c>
      <c r="AD11" s="179">
        <f t="shared" si="14"/>
        <v>0</v>
      </c>
      <c r="AE11" s="179">
        <f>Y11*DATOS!$C$29+'PRESUPUESTOS DE VENTA  '!Y11</f>
        <v>0</v>
      </c>
      <c r="AF11" s="177">
        <f t="shared" si="15"/>
        <v>0</v>
      </c>
      <c r="AG11" s="181">
        <f t="shared" si="16"/>
        <v>0</v>
      </c>
    </row>
    <row r="12" spans="2:33" ht="15.75" thickBot="1">
      <c r="B12" s="182">
        <f>+DATOS!C13</f>
        <v>0</v>
      </c>
      <c r="C12" s="183">
        <f>+DATOS!F13</f>
        <v>0</v>
      </c>
      <c r="D12" s="183">
        <f>+DATOS!F29</f>
        <v>0</v>
      </c>
      <c r="E12" s="185">
        <f t="shared" si="0"/>
        <v>0</v>
      </c>
      <c r="G12" s="195">
        <f t="shared" si="1"/>
        <v>0</v>
      </c>
      <c r="H12" s="188">
        <f>C12*DATOS!$C$20+'PRESUPUESTOS DE VENTA  '!C12</f>
        <v>0</v>
      </c>
      <c r="I12" s="188">
        <f t="shared" si="2"/>
        <v>0</v>
      </c>
      <c r="J12" s="188">
        <f>D12*DATOS!$C$26+'PRESUPUESTOS DE VENTA  '!D12</f>
        <v>0</v>
      </c>
      <c r="K12" s="188">
        <f t="shared" si="3"/>
        <v>0</v>
      </c>
      <c r="L12" s="196">
        <f t="shared" si="4"/>
        <v>0</v>
      </c>
      <c r="N12" s="190">
        <f t="shared" si="5"/>
        <v>0</v>
      </c>
      <c r="O12" s="191">
        <f>+I12*DATOS!$C$21+'PRESUPUESTOS DE VENTA  '!I12</f>
        <v>0</v>
      </c>
      <c r="P12" s="191">
        <f t="shared" si="6"/>
        <v>0</v>
      </c>
      <c r="Q12" s="191">
        <f>+K12*DATOS!$C$27+'PRESUPUESTOS DE VENTA  '!K12</f>
        <v>0</v>
      </c>
      <c r="R12" s="191">
        <f t="shared" si="7"/>
        <v>0</v>
      </c>
      <c r="S12" s="192">
        <f t="shared" si="8"/>
        <v>0</v>
      </c>
      <c r="U12" s="217">
        <f t="shared" si="9"/>
        <v>0</v>
      </c>
      <c r="V12" s="218">
        <f>P12*DATOS!$C$22+P12</f>
        <v>0</v>
      </c>
      <c r="W12" s="218">
        <f t="shared" si="10"/>
        <v>0</v>
      </c>
      <c r="X12" s="218">
        <f>R12*DATOS!$C$28+'PRESUPUESTOS DE VENTA  '!R12</f>
        <v>0</v>
      </c>
      <c r="Y12" s="218">
        <f t="shared" si="11"/>
        <v>0</v>
      </c>
      <c r="Z12" s="219">
        <f t="shared" si="12"/>
        <v>0</v>
      </c>
      <c r="AB12" s="182">
        <f t="shared" si="13"/>
        <v>0</v>
      </c>
      <c r="AC12" s="183">
        <f>W12*DATOS!$C$23+'PRESUPUESTOS DE VENTA  '!W12</f>
        <v>0</v>
      </c>
      <c r="AD12" s="183">
        <f t="shared" si="14"/>
        <v>0</v>
      </c>
      <c r="AE12" s="183">
        <f>Y12*DATOS!$C$29+'PRESUPUESTOS DE VENTA  '!Y12</f>
        <v>0</v>
      </c>
      <c r="AF12" s="184">
        <f t="shared" si="15"/>
        <v>0</v>
      </c>
      <c r="AG12" s="185">
        <f t="shared" si="16"/>
        <v>0</v>
      </c>
    </row>
    <row r="13" spans="2:33" ht="15.75" thickBot="1">
      <c r="B13" s="75" t="s">
        <v>42</v>
      </c>
      <c r="C13" s="76"/>
      <c r="D13" s="76"/>
      <c r="E13" s="73">
        <f>SUM(E3:E12)</f>
        <v>987900000</v>
      </c>
      <c r="G13" s="75" t="s">
        <v>168</v>
      </c>
      <c r="H13" s="76"/>
      <c r="I13" s="76"/>
      <c r="J13" s="74">
        <f>SUM(J3:J12)</f>
        <v>3862800</v>
      </c>
      <c r="K13" s="76"/>
      <c r="L13" s="73">
        <f>SUM(L3:L12)</f>
        <v>1077721200</v>
      </c>
      <c r="N13" s="172" t="s">
        <v>169</v>
      </c>
      <c r="O13" s="173"/>
      <c r="P13" s="173"/>
      <c r="Q13" s="174">
        <f>SUM(Q3:Q12)</f>
        <v>4032763.2</v>
      </c>
      <c r="R13" s="173"/>
      <c r="S13" s="175">
        <f>SUM(S3:S12)</f>
        <v>1173534324</v>
      </c>
      <c r="U13" s="75" t="s">
        <v>170</v>
      </c>
      <c r="V13" s="76"/>
      <c r="W13" s="76"/>
      <c r="X13" s="76"/>
      <c r="Y13" s="76"/>
      <c r="Z13" s="73">
        <f>SUM(Z3:Z12)</f>
        <v>1279902624</v>
      </c>
      <c r="AB13" s="75" t="s">
        <v>171</v>
      </c>
      <c r="AC13" s="76"/>
      <c r="AD13" s="76"/>
      <c r="AE13" s="76"/>
      <c r="AF13" s="76"/>
      <c r="AG13" s="73">
        <f>SUM(AG3:AG12)</f>
        <v>1393359552</v>
      </c>
    </row>
    <row r="15" spans="2:5" ht="15">
      <c r="B15" s="610"/>
      <c r="C15" s="610"/>
      <c r="D15" s="610"/>
      <c r="E15" s="610"/>
    </row>
    <row r="16" spans="2:5" ht="15">
      <c r="B16" s="14"/>
      <c r="C16" s="456">
        <f>+C3+I3+P3+W3+AD3</f>
        <v>1458</v>
      </c>
      <c r="D16" s="14"/>
      <c r="E16" s="14"/>
    </row>
    <row r="17" spans="2:33" ht="15">
      <c r="B17" s="603"/>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row>
    <row r="18" spans="2:33" ht="15">
      <c r="B18" s="603"/>
      <c r="C18" s="603"/>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row>
    <row r="19" spans="2:33" ht="15">
      <c r="B19" s="603"/>
      <c r="C19" s="603"/>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row>
    <row r="20" ht="15">
      <c r="C20" s="12">
        <v>1879</v>
      </c>
    </row>
    <row r="21" ht="15">
      <c r="C21" s="457">
        <f>+C16/C20</f>
        <v>0.7759446514103246</v>
      </c>
    </row>
    <row r="22" ht="15">
      <c r="C22" s="32">
        <f>1-C21</f>
        <v>0.22405534858967535</v>
      </c>
    </row>
  </sheetData>
  <sheetProtection/>
  <mergeCells count="7">
    <mergeCell ref="B17:AG19"/>
    <mergeCell ref="B1:E1"/>
    <mergeCell ref="N1:S1"/>
    <mergeCell ref="U1:Z1"/>
    <mergeCell ref="AB1:AG1"/>
    <mergeCell ref="B15:E15"/>
    <mergeCell ref="G1:L1"/>
  </mergeCells>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5" tint="-0.24997000396251678"/>
  </sheetPr>
  <dimension ref="A1:AD1046"/>
  <sheetViews>
    <sheetView zoomScale="60" zoomScaleNormal="60" zoomScalePageLayoutView="0" workbookViewId="0" topLeftCell="H1">
      <selection activeCell="AD13" sqref="AD13"/>
    </sheetView>
  </sheetViews>
  <sheetFormatPr defaultColWidth="11.421875" defaultRowHeight="15"/>
  <cols>
    <col min="1" max="1" width="2.140625" style="239" customWidth="1"/>
    <col min="2" max="2" width="19.57421875" style="0" customWidth="1"/>
    <col min="3" max="3" width="19.28125" style="0" customWidth="1"/>
    <col min="4" max="4" width="13.28125" style="0" customWidth="1"/>
    <col min="5" max="5" width="23.421875" style="0" bestFit="1" customWidth="1"/>
    <col min="6" max="6" width="2.140625" style="12" customWidth="1"/>
    <col min="7" max="7" width="19.421875" style="0" customWidth="1"/>
    <col min="8" max="8" width="13.8515625" style="0" customWidth="1"/>
    <col min="9" max="9" width="14.00390625" style="0" hidden="1" customWidth="1"/>
    <col min="10" max="10" width="14.00390625" style="0" customWidth="1"/>
    <col min="11" max="11" width="23.00390625" style="0" bestFit="1" customWidth="1"/>
    <col min="12" max="12" width="2.421875" style="12" customWidth="1"/>
    <col min="13" max="13" width="19.00390625" style="0" customWidth="1"/>
    <col min="14" max="14" width="15.421875" style="0" customWidth="1"/>
    <col min="15" max="15" width="14.7109375" style="0" hidden="1" customWidth="1"/>
    <col min="16" max="16" width="14.7109375" style="0" customWidth="1"/>
    <col min="17" max="17" width="23.7109375" style="0" bestFit="1" customWidth="1"/>
    <col min="18" max="18" width="2.421875" style="12" customWidth="1"/>
    <col min="19" max="19" width="19.57421875" style="0" customWidth="1"/>
    <col min="20" max="20" width="15.7109375" style="0" customWidth="1"/>
    <col min="21" max="21" width="16.57421875" style="0" hidden="1" customWidth="1"/>
    <col min="22" max="22" width="16.57421875" style="0" customWidth="1"/>
    <col min="23" max="23" width="22.7109375" style="0" bestFit="1" customWidth="1"/>
    <col min="24" max="24" width="2.421875" style="0" customWidth="1"/>
    <col min="25" max="25" width="19.28125" style="0" customWidth="1"/>
    <col min="26" max="26" width="14.7109375" style="0" customWidth="1"/>
    <col min="27" max="27" width="14.7109375" style="0" hidden="1" customWidth="1"/>
    <col min="28" max="28" width="14.7109375" style="0" customWidth="1"/>
    <col min="29" max="29" width="23.28125" style="0" bestFit="1" customWidth="1"/>
    <col min="30" max="30" width="20.8515625" style="12" bestFit="1" customWidth="1"/>
    <col min="31" max="180" width="11.421875" style="12" customWidth="1"/>
  </cols>
  <sheetData>
    <row r="1" spans="2:29" ht="15.75" thickBot="1">
      <c r="B1" s="604" t="s">
        <v>43</v>
      </c>
      <c r="C1" s="605"/>
      <c r="D1" s="605"/>
      <c r="E1" s="606"/>
      <c r="G1" s="611" t="s">
        <v>43</v>
      </c>
      <c r="H1" s="612"/>
      <c r="I1" s="612"/>
      <c r="J1" s="612"/>
      <c r="K1" s="613"/>
      <c r="M1" s="611" t="s">
        <v>43</v>
      </c>
      <c r="N1" s="612"/>
      <c r="O1" s="612"/>
      <c r="P1" s="612"/>
      <c r="Q1" s="613"/>
      <c r="S1" s="604" t="s">
        <v>43</v>
      </c>
      <c r="T1" s="605"/>
      <c r="U1" s="605"/>
      <c r="V1" s="619"/>
      <c r="W1" s="606"/>
      <c r="X1" s="64"/>
      <c r="Y1" s="604" t="s">
        <v>43</v>
      </c>
      <c r="Z1" s="605"/>
      <c r="AA1" s="605"/>
      <c r="AB1" s="619"/>
      <c r="AC1" s="606"/>
    </row>
    <row r="2" spans="2:29" ht="15">
      <c r="B2" s="197" t="s">
        <v>0</v>
      </c>
      <c r="C2" s="198" t="s">
        <v>44</v>
      </c>
      <c r="D2" s="198" t="s">
        <v>45</v>
      </c>
      <c r="E2" s="238" t="s">
        <v>46</v>
      </c>
      <c r="G2" s="199" t="s">
        <v>0</v>
      </c>
      <c r="H2" s="200" t="s">
        <v>44</v>
      </c>
      <c r="I2" s="200" t="s">
        <v>45</v>
      </c>
      <c r="J2" s="229" t="str">
        <f>I2</f>
        <v>COSTO </v>
      </c>
      <c r="K2" s="230" t="s">
        <v>46</v>
      </c>
      <c r="M2" s="198" t="s">
        <v>0</v>
      </c>
      <c r="N2" s="198" t="s">
        <v>44</v>
      </c>
      <c r="O2" s="198" t="s">
        <v>45</v>
      </c>
      <c r="P2" s="198" t="str">
        <f>O2</f>
        <v>COSTO </v>
      </c>
      <c r="Q2" s="236" t="s">
        <v>46</v>
      </c>
      <c r="S2" s="199" t="s">
        <v>0</v>
      </c>
      <c r="T2" s="200" t="s">
        <v>44</v>
      </c>
      <c r="U2" s="200" t="s">
        <v>45</v>
      </c>
      <c r="V2" s="229" t="str">
        <f>U2</f>
        <v>COSTO </v>
      </c>
      <c r="W2" s="230" t="s">
        <v>46</v>
      </c>
      <c r="X2" s="64"/>
      <c r="Y2" s="197" t="s">
        <v>0</v>
      </c>
      <c r="Z2" s="198" t="s">
        <v>44</v>
      </c>
      <c r="AA2" s="198" t="s">
        <v>45</v>
      </c>
      <c r="AB2" s="231" t="str">
        <f>AA2</f>
        <v>COSTO </v>
      </c>
      <c r="AC2" s="232" t="s">
        <v>46</v>
      </c>
    </row>
    <row r="3" spans="2:29" ht="15">
      <c r="B3" s="178" t="str">
        <f>'PRESUPUESTOS DE VENTA  '!B3</f>
        <v>cocina estandar  2 Mt2</v>
      </c>
      <c r="C3" s="179">
        <f>+'PRESUPUESTOS DE VENTA  '!C3</f>
        <v>267</v>
      </c>
      <c r="D3" s="177">
        <f>DATOS!C67</f>
        <v>2144298.814589665</v>
      </c>
      <c r="E3" s="181">
        <f>+C3*D3</f>
        <v>572527783.4954405</v>
      </c>
      <c r="F3" s="220"/>
      <c r="G3" s="193" t="str">
        <f>+B3</f>
        <v>cocina estandar  2 Mt2</v>
      </c>
      <c r="H3" s="186">
        <f>'PRESUPUESTOS DE VENTA  '!I3</f>
        <v>279</v>
      </c>
      <c r="I3" s="186">
        <f>D3*DATOS!$F$33+D3</f>
        <v>2245080.858875379</v>
      </c>
      <c r="J3" s="221">
        <f>ROUNDUP(I3,0)</f>
        <v>2245081</v>
      </c>
      <c r="K3" s="194">
        <f aca="true" t="shared" si="0" ref="K3:K12">+H3*I3</f>
        <v>626377559.6262307</v>
      </c>
      <c r="L3" s="220"/>
      <c r="M3" s="179" t="str">
        <f>+G3</f>
        <v>cocina estandar  2 Mt2</v>
      </c>
      <c r="N3" s="179">
        <f>'PRESUPUESTOS DE VENTA  '!P3</f>
        <v>291</v>
      </c>
      <c r="O3" s="179">
        <f>+J3*DATOS!$F$34+'PRESUPUESTROS DE COMPRA'!J3</f>
        <v>2350599.807</v>
      </c>
      <c r="P3" s="177">
        <f>ROUNDUP(O3,0)</f>
        <v>2350600</v>
      </c>
      <c r="Q3" s="204">
        <f>N3*P3</f>
        <v>684024600</v>
      </c>
      <c r="R3" s="220"/>
      <c r="S3" s="193" t="str">
        <f>+M3</f>
        <v>cocina estandar  2 Mt2</v>
      </c>
      <c r="T3" s="186">
        <f>'PRESUPUESTOS DE VENTA  '!W3</f>
        <v>304</v>
      </c>
      <c r="U3" s="186">
        <f>+P3*DATOS!$F$35+'PRESUPUESTROS DE COMPRA'!P3</f>
        <v>2461078.2</v>
      </c>
      <c r="V3" s="221">
        <f>ROUNDUP(U3,0)</f>
        <v>2461079</v>
      </c>
      <c r="W3" s="194">
        <f>T3*V3</f>
        <v>748168016</v>
      </c>
      <c r="X3" s="222"/>
      <c r="Y3" s="178" t="str">
        <f>+S3</f>
        <v>cocina estandar  2 Mt2</v>
      </c>
      <c r="Z3" s="179">
        <f>'PRESUPUESTOS DE VENTA  '!AD3</f>
        <v>317</v>
      </c>
      <c r="AA3" s="179">
        <f>V3*DATOS!$F$36+V3</f>
        <v>2576749.713</v>
      </c>
      <c r="AB3" s="233">
        <f>ROUNDUP(AA3,0)</f>
        <v>2576750</v>
      </c>
      <c r="AC3" s="181">
        <f>+Z3*AB3</f>
        <v>816829750</v>
      </c>
    </row>
    <row r="4" spans="2:29" ht="15">
      <c r="B4" s="178">
        <f>'PRESUPUESTOS DE VENTA  '!B4</f>
        <v>0</v>
      </c>
      <c r="C4" s="179">
        <f>+'PRESUPUESTOS DE VENTA  '!C4</f>
        <v>0</v>
      </c>
      <c r="D4" s="177">
        <f>+DATOS!C83</f>
        <v>0</v>
      </c>
      <c r="E4" s="181">
        <f aca="true" t="shared" si="1" ref="E4:E12">+C4*D4</f>
        <v>0</v>
      </c>
      <c r="F4" s="220"/>
      <c r="G4" s="193">
        <f aca="true" t="shared" si="2" ref="G4:G12">+B4</f>
        <v>0</v>
      </c>
      <c r="H4" s="186">
        <f>'PRESUPUESTOS DE VENTA  '!I4</f>
        <v>0</v>
      </c>
      <c r="I4" s="186">
        <f>D4*DATOS!$F$33+D4</f>
        <v>0</v>
      </c>
      <c r="J4" s="221">
        <f aca="true" t="shared" si="3" ref="J4:J12">ROUNDUP(I4,0)</f>
        <v>0</v>
      </c>
      <c r="K4" s="194">
        <f t="shared" si="0"/>
        <v>0</v>
      </c>
      <c r="L4" s="220"/>
      <c r="M4" s="179">
        <f aca="true" t="shared" si="4" ref="M4:M12">+G4</f>
        <v>0</v>
      </c>
      <c r="N4" s="179">
        <f>'PRESUPUESTOS DE VENTA  '!P4</f>
        <v>0</v>
      </c>
      <c r="O4" s="179">
        <f>+J4*DATOS!$F$34+'PRESUPUESTROS DE COMPRA'!J4</f>
        <v>0</v>
      </c>
      <c r="P4" s="177">
        <f aca="true" t="shared" si="5" ref="P4:P12">ROUNDUP(O4,0)</f>
        <v>0</v>
      </c>
      <c r="Q4" s="204">
        <f aca="true" t="shared" si="6" ref="Q4:Q12">N4*P4</f>
        <v>0</v>
      </c>
      <c r="R4" s="220"/>
      <c r="S4" s="193">
        <f aca="true" t="shared" si="7" ref="S4:S12">+M4</f>
        <v>0</v>
      </c>
      <c r="T4" s="186">
        <f>'PRESUPUESTOS DE VENTA  '!W4</f>
        <v>0</v>
      </c>
      <c r="U4" s="186">
        <f>+P4*DATOS!$F$35+'PRESUPUESTROS DE COMPRA'!P4</f>
        <v>0</v>
      </c>
      <c r="V4" s="221">
        <f aca="true" t="shared" si="8" ref="V4:V12">ROUNDUP(U4,0)</f>
        <v>0</v>
      </c>
      <c r="W4" s="194">
        <f aca="true" t="shared" si="9" ref="W4:W12">T4*V4</f>
        <v>0</v>
      </c>
      <c r="X4" s="222"/>
      <c r="Y4" s="178">
        <f aca="true" t="shared" si="10" ref="Y4:Y12">+S4</f>
        <v>0</v>
      </c>
      <c r="Z4" s="179">
        <f>'PRESUPUESTOS DE VENTA  '!AD4</f>
        <v>0</v>
      </c>
      <c r="AA4" s="179">
        <f>V4*DATOS!$F$36+V4</f>
        <v>0</v>
      </c>
      <c r="AB4" s="233">
        <f aca="true" t="shared" si="11" ref="AB4:AB12">ROUNDUP(AA4,0)</f>
        <v>0</v>
      </c>
      <c r="AC4" s="181">
        <f aca="true" t="shared" si="12" ref="AC4:AC12">+Z4*AB4</f>
        <v>0</v>
      </c>
    </row>
    <row r="5" spans="2:29" ht="15">
      <c r="B5" s="178">
        <f>'PRESUPUESTOS DE VENTA  '!B5</f>
        <v>0</v>
      </c>
      <c r="C5" s="179">
        <f>+'PRESUPUESTOS DE VENTA  '!C5</f>
        <v>0</v>
      </c>
      <c r="D5" s="177">
        <f>+DATOS!C99</f>
        <v>0</v>
      </c>
      <c r="E5" s="181">
        <f t="shared" si="1"/>
        <v>0</v>
      </c>
      <c r="F5" s="220"/>
      <c r="G5" s="193">
        <f t="shared" si="2"/>
        <v>0</v>
      </c>
      <c r="H5" s="186">
        <f>'PRESUPUESTOS DE VENTA  '!I5</f>
        <v>0</v>
      </c>
      <c r="I5" s="186">
        <f>D5*DATOS!$F$33+D5</f>
        <v>0</v>
      </c>
      <c r="J5" s="221">
        <f t="shared" si="3"/>
        <v>0</v>
      </c>
      <c r="K5" s="194">
        <f t="shared" si="0"/>
        <v>0</v>
      </c>
      <c r="L5" s="220"/>
      <c r="M5" s="179">
        <f t="shared" si="4"/>
        <v>0</v>
      </c>
      <c r="N5" s="179">
        <f>'PRESUPUESTOS DE VENTA  '!P5</f>
        <v>0</v>
      </c>
      <c r="O5" s="179">
        <f>+J5*DATOS!$F$34+'PRESUPUESTROS DE COMPRA'!J5</f>
        <v>0</v>
      </c>
      <c r="P5" s="177">
        <f t="shared" si="5"/>
        <v>0</v>
      </c>
      <c r="Q5" s="204">
        <f t="shared" si="6"/>
        <v>0</v>
      </c>
      <c r="R5" s="220"/>
      <c r="S5" s="193">
        <f t="shared" si="7"/>
        <v>0</v>
      </c>
      <c r="T5" s="186">
        <f>'PRESUPUESTOS DE VENTA  '!W5</f>
        <v>0</v>
      </c>
      <c r="U5" s="186">
        <f>+P5*DATOS!$F$35+'PRESUPUESTROS DE COMPRA'!P5</f>
        <v>0</v>
      </c>
      <c r="V5" s="221">
        <f t="shared" si="8"/>
        <v>0</v>
      </c>
      <c r="W5" s="194">
        <f t="shared" si="9"/>
        <v>0</v>
      </c>
      <c r="X5" s="222"/>
      <c r="Y5" s="178">
        <f t="shared" si="10"/>
        <v>0</v>
      </c>
      <c r="Z5" s="179">
        <f>'PRESUPUESTOS DE VENTA  '!AD5</f>
        <v>0</v>
      </c>
      <c r="AA5" s="179">
        <f>V5*DATOS!$F$36+V5</f>
        <v>0</v>
      </c>
      <c r="AB5" s="233">
        <f t="shared" si="11"/>
        <v>0</v>
      </c>
      <c r="AC5" s="181">
        <f t="shared" si="12"/>
        <v>0</v>
      </c>
    </row>
    <row r="6" spans="2:29" ht="15">
      <c r="B6" s="178">
        <f>'PRESUPUESTOS DE VENTA  '!B6</f>
        <v>0</v>
      </c>
      <c r="C6" s="179">
        <f>+'PRESUPUESTOS DE VENTA  '!C6</f>
        <v>0</v>
      </c>
      <c r="D6" s="177">
        <f>+DATOS!C115</f>
        <v>0</v>
      </c>
      <c r="E6" s="181">
        <f t="shared" si="1"/>
        <v>0</v>
      </c>
      <c r="F6" s="220"/>
      <c r="G6" s="193">
        <f t="shared" si="2"/>
        <v>0</v>
      </c>
      <c r="H6" s="186">
        <f>'PRESUPUESTOS DE VENTA  '!I6</f>
        <v>0</v>
      </c>
      <c r="I6" s="186">
        <f>D6*DATOS!$F$33+D6</f>
        <v>0</v>
      </c>
      <c r="J6" s="221">
        <f t="shared" si="3"/>
        <v>0</v>
      </c>
      <c r="K6" s="194">
        <f t="shared" si="0"/>
        <v>0</v>
      </c>
      <c r="L6" s="220"/>
      <c r="M6" s="179">
        <f t="shared" si="4"/>
        <v>0</v>
      </c>
      <c r="N6" s="179">
        <f>'PRESUPUESTOS DE VENTA  '!P6</f>
        <v>0</v>
      </c>
      <c r="O6" s="179">
        <f>+J6*DATOS!$F$34+'PRESUPUESTROS DE COMPRA'!J6</f>
        <v>0</v>
      </c>
      <c r="P6" s="177">
        <f t="shared" si="5"/>
        <v>0</v>
      </c>
      <c r="Q6" s="204">
        <f t="shared" si="6"/>
        <v>0</v>
      </c>
      <c r="R6" s="220"/>
      <c r="S6" s="193">
        <f t="shared" si="7"/>
        <v>0</v>
      </c>
      <c r="T6" s="186">
        <f>'PRESUPUESTOS DE VENTA  '!W6</f>
        <v>0</v>
      </c>
      <c r="U6" s="186">
        <f>+P6*DATOS!$F$35+'PRESUPUESTROS DE COMPRA'!P6</f>
        <v>0</v>
      </c>
      <c r="V6" s="221">
        <f t="shared" si="8"/>
        <v>0</v>
      </c>
      <c r="W6" s="194">
        <f t="shared" si="9"/>
        <v>0</v>
      </c>
      <c r="X6" s="222"/>
      <c r="Y6" s="178">
        <f t="shared" si="10"/>
        <v>0</v>
      </c>
      <c r="Z6" s="179">
        <f>'PRESUPUESTOS DE VENTA  '!AD6</f>
        <v>0</v>
      </c>
      <c r="AA6" s="179">
        <f>V6*DATOS!$F$36+V6</f>
        <v>0</v>
      </c>
      <c r="AB6" s="233">
        <f t="shared" si="11"/>
        <v>0</v>
      </c>
      <c r="AC6" s="181">
        <f t="shared" si="12"/>
        <v>0</v>
      </c>
    </row>
    <row r="7" spans="2:29" ht="15">
      <c r="B7" s="178">
        <f>'PRESUPUESTOS DE VENTA  '!B7</f>
        <v>0</v>
      </c>
      <c r="C7" s="179">
        <f>+'PRESUPUESTOS DE VENTA  '!C7</f>
        <v>0</v>
      </c>
      <c r="D7" s="177">
        <f>DATOS!C131</f>
        <v>0</v>
      </c>
      <c r="E7" s="181">
        <f t="shared" si="1"/>
        <v>0</v>
      </c>
      <c r="F7" s="220"/>
      <c r="G7" s="193">
        <f t="shared" si="2"/>
        <v>0</v>
      </c>
      <c r="H7" s="186">
        <f>'PRESUPUESTOS DE VENTA  '!I7</f>
        <v>0</v>
      </c>
      <c r="I7" s="186">
        <f>D7*DATOS!$F$33+D7</f>
        <v>0</v>
      </c>
      <c r="J7" s="221">
        <f t="shared" si="3"/>
        <v>0</v>
      </c>
      <c r="K7" s="194">
        <f t="shared" si="0"/>
        <v>0</v>
      </c>
      <c r="L7" s="220"/>
      <c r="M7" s="179">
        <f t="shared" si="4"/>
        <v>0</v>
      </c>
      <c r="N7" s="179">
        <f>'PRESUPUESTOS DE VENTA  '!P7</f>
        <v>0</v>
      </c>
      <c r="O7" s="179">
        <f>+J7*DATOS!$F$34+'PRESUPUESTROS DE COMPRA'!J7</f>
        <v>0</v>
      </c>
      <c r="P7" s="177">
        <f t="shared" si="5"/>
        <v>0</v>
      </c>
      <c r="Q7" s="204">
        <f t="shared" si="6"/>
        <v>0</v>
      </c>
      <c r="R7" s="220"/>
      <c r="S7" s="193">
        <f t="shared" si="7"/>
        <v>0</v>
      </c>
      <c r="T7" s="186">
        <f>'PRESUPUESTOS DE VENTA  '!W7</f>
        <v>0</v>
      </c>
      <c r="U7" s="186">
        <f>+P7*DATOS!$F$35+'PRESUPUESTROS DE COMPRA'!P7</f>
        <v>0</v>
      </c>
      <c r="V7" s="221">
        <f t="shared" si="8"/>
        <v>0</v>
      </c>
      <c r="W7" s="194">
        <f t="shared" si="9"/>
        <v>0</v>
      </c>
      <c r="X7" s="222"/>
      <c r="Y7" s="178">
        <f t="shared" si="10"/>
        <v>0</v>
      </c>
      <c r="Z7" s="179">
        <f>'PRESUPUESTOS DE VENTA  '!AD7</f>
        <v>0</v>
      </c>
      <c r="AA7" s="179">
        <f>V7*DATOS!$F$36+V7</f>
        <v>0</v>
      </c>
      <c r="AB7" s="233">
        <f t="shared" si="11"/>
        <v>0</v>
      </c>
      <c r="AC7" s="181">
        <f t="shared" si="12"/>
        <v>0</v>
      </c>
    </row>
    <row r="8" spans="2:29" ht="15">
      <c r="B8" s="178">
        <f>'PRESUPUESTOS DE VENTA  '!B8</f>
        <v>0</v>
      </c>
      <c r="C8" s="179">
        <f>+'PRESUPUESTOS DE VENTA  '!C8</f>
        <v>0</v>
      </c>
      <c r="D8" s="179">
        <f>DATOS!C147</f>
        <v>0</v>
      </c>
      <c r="E8" s="181">
        <f t="shared" si="1"/>
        <v>0</v>
      </c>
      <c r="F8" s="220"/>
      <c r="G8" s="193">
        <f t="shared" si="2"/>
        <v>0</v>
      </c>
      <c r="H8" s="186">
        <f>'PRESUPUESTOS DE VENTA  '!I8</f>
        <v>0</v>
      </c>
      <c r="I8" s="186">
        <f>D8*DATOS!$F$33+D8</f>
        <v>0</v>
      </c>
      <c r="J8" s="223">
        <f t="shared" si="3"/>
        <v>0</v>
      </c>
      <c r="K8" s="194">
        <f t="shared" si="0"/>
        <v>0</v>
      </c>
      <c r="L8" s="220"/>
      <c r="M8" s="179">
        <f t="shared" si="4"/>
        <v>0</v>
      </c>
      <c r="N8" s="179">
        <f>'PRESUPUESTOS DE VENTA  '!P8</f>
        <v>0</v>
      </c>
      <c r="O8" s="179">
        <f>+J8*DATOS!$F$34+'PRESUPUESTROS DE COMPRA'!J8</f>
        <v>0</v>
      </c>
      <c r="P8" s="179">
        <f t="shared" si="5"/>
        <v>0</v>
      </c>
      <c r="Q8" s="204">
        <f t="shared" si="6"/>
        <v>0</v>
      </c>
      <c r="R8" s="220"/>
      <c r="S8" s="193">
        <f t="shared" si="7"/>
        <v>0</v>
      </c>
      <c r="T8" s="186">
        <f>'PRESUPUESTOS DE VENTA  '!W8</f>
        <v>0</v>
      </c>
      <c r="U8" s="186">
        <f>+P8*DATOS!$F$35+'PRESUPUESTROS DE COMPRA'!P8</f>
        <v>0</v>
      </c>
      <c r="V8" s="223">
        <f t="shared" si="8"/>
        <v>0</v>
      </c>
      <c r="W8" s="194">
        <f t="shared" si="9"/>
        <v>0</v>
      </c>
      <c r="X8" s="222"/>
      <c r="Y8" s="178">
        <f t="shared" si="10"/>
        <v>0</v>
      </c>
      <c r="Z8" s="179">
        <f>'PRESUPUESTOS DE VENTA  '!AD8</f>
        <v>0</v>
      </c>
      <c r="AA8" s="179">
        <f>V8*DATOS!$F$36+V8</f>
        <v>0</v>
      </c>
      <c r="AB8" s="234">
        <f t="shared" si="11"/>
        <v>0</v>
      </c>
      <c r="AC8" s="181">
        <f t="shared" si="12"/>
        <v>0</v>
      </c>
    </row>
    <row r="9" spans="2:29" ht="15">
      <c r="B9" s="178">
        <f>'PRESUPUESTOS DE VENTA  '!B9</f>
        <v>0</v>
      </c>
      <c r="C9" s="179">
        <f>+'PRESUPUESTOS DE VENTA  '!C9</f>
        <v>0</v>
      </c>
      <c r="D9" s="179">
        <f>DATOS!C163</f>
        <v>0</v>
      </c>
      <c r="E9" s="181">
        <f t="shared" si="1"/>
        <v>0</v>
      </c>
      <c r="F9" s="220"/>
      <c r="G9" s="193">
        <f t="shared" si="2"/>
        <v>0</v>
      </c>
      <c r="H9" s="186">
        <f>'PRESUPUESTOS DE VENTA  '!I9</f>
        <v>0</v>
      </c>
      <c r="I9" s="186">
        <f>D9*DATOS!$F$33+D9</f>
        <v>0</v>
      </c>
      <c r="J9" s="223">
        <f t="shared" si="3"/>
        <v>0</v>
      </c>
      <c r="K9" s="194">
        <f t="shared" si="0"/>
        <v>0</v>
      </c>
      <c r="L9" s="220"/>
      <c r="M9" s="179">
        <f t="shared" si="4"/>
        <v>0</v>
      </c>
      <c r="N9" s="179">
        <f>'PRESUPUESTOS DE VENTA  '!P9</f>
        <v>0</v>
      </c>
      <c r="O9" s="179">
        <f>+J9*DATOS!$F$34+'PRESUPUESTROS DE COMPRA'!J9</f>
        <v>0</v>
      </c>
      <c r="P9" s="179">
        <f t="shared" si="5"/>
        <v>0</v>
      </c>
      <c r="Q9" s="204">
        <f t="shared" si="6"/>
        <v>0</v>
      </c>
      <c r="R9" s="220"/>
      <c r="S9" s="193">
        <f t="shared" si="7"/>
        <v>0</v>
      </c>
      <c r="T9" s="186">
        <f>'PRESUPUESTOS DE VENTA  '!W9</f>
        <v>0</v>
      </c>
      <c r="U9" s="186">
        <f>+P9*DATOS!$F$35+'PRESUPUESTROS DE COMPRA'!P9</f>
        <v>0</v>
      </c>
      <c r="V9" s="223">
        <f t="shared" si="8"/>
        <v>0</v>
      </c>
      <c r="W9" s="194">
        <f t="shared" si="9"/>
        <v>0</v>
      </c>
      <c r="X9" s="222"/>
      <c r="Y9" s="178">
        <f t="shared" si="10"/>
        <v>0</v>
      </c>
      <c r="Z9" s="179">
        <f>'PRESUPUESTOS DE VENTA  '!AD9</f>
        <v>0</v>
      </c>
      <c r="AA9" s="179">
        <f>V9*DATOS!$F$36+V9</f>
        <v>0</v>
      </c>
      <c r="AB9" s="234">
        <f t="shared" si="11"/>
        <v>0</v>
      </c>
      <c r="AC9" s="181">
        <f t="shared" si="12"/>
        <v>0</v>
      </c>
    </row>
    <row r="10" spans="2:29" ht="15">
      <c r="B10" s="178">
        <f>'PRESUPUESTOS DE VENTA  '!B10</f>
        <v>0</v>
      </c>
      <c r="C10" s="179">
        <f>+'PRESUPUESTOS DE VENTA  '!C10</f>
        <v>0</v>
      </c>
      <c r="D10" s="179">
        <f>DATOS!C179</f>
        <v>0</v>
      </c>
      <c r="E10" s="181">
        <f t="shared" si="1"/>
        <v>0</v>
      </c>
      <c r="F10" s="220"/>
      <c r="G10" s="193">
        <f t="shared" si="2"/>
        <v>0</v>
      </c>
      <c r="H10" s="186">
        <f>'PRESUPUESTOS DE VENTA  '!I10</f>
        <v>0</v>
      </c>
      <c r="I10" s="186">
        <f>D10*DATOS!$F$33+D10</f>
        <v>0</v>
      </c>
      <c r="J10" s="223">
        <f t="shared" si="3"/>
        <v>0</v>
      </c>
      <c r="K10" s="194">
        <f t="shared" si="0"/>
        <v>0</v>
      </c>
      <c r="L10" s="220"/>
      <c r="M10" s="179">
        <f t="shared" si="4"/>
        <v>0</v>
      </c>
      <c r="N10" s="179">
        <f>'PRESUPUESTOS DE VENTA  '!P10</f>
        <v>0</v>
      </c>
      <c r="O10" s="179">
        <f>+J10*DATOS!$F$34+'PRESUPUESTROS DE COMPRA'!J10</f>
        <v>0</v>
      </c>
      <c r="P10" s="179">
        <f t="shared" si="5"/>
        <v>0</v>
      </c>
      <c r="Q10" s="204">
        <f t="shared" si="6"/>
        <v>0</v>
      </c>
      <c r="R10" s="220"/>
      <c r="S10" s="193">
        <f t="shared" si="7"/>
        <v>0</v>
      </c>
      <c r="T10" s="186">
        <f>'PRESUPUESTOS DE VENTA  '!W10</f>
        <v>0</v>
      </c>
      <c r="U10" s="186">
        <f>+P10*DATOS!$F$35+'PRESUPUESTROS DE COMPRA'!P10</f>
        <v>0</v>
      </c>
      <c r="V10" s="223">
        <f t="shared" si="8"/>
        <v>0</v>
      </c>
      <c r="W10" s="194">
        <f t="shared" si="9"/>
        <v>0</v>
      </c>
      <c r="X10" s="222"/>
      <c r="Y10" s="178">
        <f t="shared" si="10"/>
        <v>0</v>
      </c>
      <c r="Z10" s="179">
        <f>'PRESUPUESTOS DE VENTA  '!AD10</f>
        <v>0</v>
      </c>
      <c r="AA10" s="179">
        <f>V10*DATOS!$F$36+V10</f>
        <v>0</v>
      </c>
      <c r="AB10" s="234">
        <f t="shared" si="11"/>
        <v>0</v>
      </c>
      <c r="AC10" s="181">
        <f t="shared" si="12"/>
        <v>0</v>
      </c>
    </row>
    <row r="11" spans="2:29" ht="15">
      <c r="B11" s="178">
        <f>'PRESUPUESTOS DE VENTA  '!B11</f>
        <v>0</v>
      </c>
      <c r="C11" s="179">
        <f>+'PRESUPUESTOS DE VENTA  '!C11</f>
        <v>0</v>
      </c>
      <c r="D11" s="179">
        <f>DATOS!C195</f>
        <v>0</v>
      </c>
      <c r="E11" s="181">
        <f t="shared" si="1"/>
        <v>0</v>
      </c>
      <c r="F11" s="220"/>
      <c r="G11" s="193">
        <f t="shared" si="2"/>
        <v>0</v>
      </c>
      <c r="H11" s="186">
        <f>'PRESUPUESTOS DE VENTA  '!I11</f>
        <v>0</v>
      </c>
      <c r="I11" s="186">
        <f>D11*DATOS!$F$33+D11</f>
        <v>0</v>
      </c>
      <c r="J11" s="223">
        <f t="shared" si="3"/>
        <v>0</v>
      </c>
      <c r="K11" s="194">
        <f t="shared" si="0"/>
        <v>0</v>
      </c>
      <c r="L11" s="220"/>
      <c r="M11" s="179">
        <f t="shared" si="4"/>
        <v>0</v>
      </c>
      <c r="N11" s="179">
        <f>'PRESUPUESTOS DE VENTA  '!P11</f>
        <v>0</v>
      </c>
      <c r="O11" s="179">
        <f>+J11*DATOS!$F$34+'PRESUPUESTROS DE COMPRA'!J11</f>
        <v>0</v>
      </c>
      <c r="P11" s="179">
        <f t="shared" si="5"/>
        <v>0</v>
      </c>
      <c r="Q11" s="204">
        <f t="shared" si="6"/>
        <v>0</v>
      </c>
      <c r="R11" s="220"/>
      <c r="S11" s="193">
        <f t="shared" si="7"/>
        <v>0</v>
      </c>
      <c r="T11" s="186">
        <f>'PRESUPUESTOS DE VENTA  '!W11</f>
        <v>0</v>
      </c>
      <c r="U11" s="186">
        <f>+P11*DATOS!$F$35+'PRESUPUESTROS DE COMPRA'!P11</f>
        <v>0</v>
      </c>
      <c r="V11" s="223">
        <f t="shared" si="8"/>
        <v>0</v>
      </c>
      <c r="W11" s="194">
        <f t="shared" si="9"/>
        <v>0</v>
      </c>
      <c r="X11" s="222"/>
      <c r="Y11" s="178">
        <f t="shared" si="10"/>
        <v>0</v>
      </c>
      <c r="Z11" s="179">
        <f>'PRESUPUESTOS DE VENTA  '!AD11</f>
        <v>0</v>
      </c>
      <c r="AA11" s="179">
        <f>V11*DATOS!$F$36+V11</f>
        <v>0</v>
      </c>
      <c r="AB11" s="234">
        <f t="shared" si="11"/>
        <v>0</v>
      </c>
      <c r="AC11" s="181">
        <f t="shared" si="12"/>
        <v>0</v>
      </c>
    </row>
    <row r="12" spans="2:29" ht="15.75" thickBot="1">
      <c r="B12" s="182">
        <f>'PRESUPUESTOS DE VENTA  '!B12</f>
        <v>0</v>
      </c>
      <c r="C12" s="183">
        <f>+'PRESUPUESTOS DE VENTA  '!C12</f>
        <v>0</v>
      </c>
      <c r="D12" s="183">
        <f>DATOS!C211</f>
        <v>0</v>
      </c>
      <c r="E12" s="185">
        <f t="shared" si="1"/>
        <v>0</v>
      </c>
      <c r="F12" s="220"/>
      <c r="G12" s="195">
        <f t="shared" si="2"/>
        <v>0</v>
      </c>
      <c r="H12" s="188">
        <f>'PRESUPUESTOS DE VENTA  '!I12</f>
        <v>0</v>
      </c>
      <c r="I12" s="188">
        <f>D12*DATOS!$F$33+D12</f>
        <v>0</v>
      </c>
      <c r="J12" s="224">
        <f t="shared" si="3"/>
        <v>0</v>
      </c>
      <c r="K12" s="196">
        <f t="shared" si="0"/>
        <v>0</v>
      </c>
      <c r="L12" s="220"/>
      <c r="M12" s="183">
        <f t="shared" si="4"/>
        <v>0</v>
      </c>
      <c r="N12" s="183">
        <f>'PRESUPUESTOS DE VENTA  '!P12</f>
        <v>0</v>
      </c>
      <c r="O12" s="183">
        <f>+J12*DATOS!$F$34+'PRESUPUESTROS DE COMPRA'!J12</f>
        <v>0</v>
      </c>
      <c r="P12" s="183">
        <f t="shared" si="5"/>
        <v>0</v>
      </c>
      <c r="Q12" s="237">
        <f t="shared" si="6"/>
        <v>0</v>
      </c>
      <c r="R12" s="220"/>
      <c r="S12" s="195">
        <f t="shared" si="7"/>
        <v>0</v>
      </c>
      <c r="T12" s="188">
        <f>'PRESUPUESTOS DE VENTA  '!W12</f>
        <v>0</v>
      </c>
      <c r="U12" s="188">
        <f>+P12*DATOS!$F$35+'PRESUPUESTROS DE COMPRA'!P12</f>
        <v>0</v>
      </c>
      <c r="V12" s="224">
        <f t="shared" si="8"/>
        <v>0</v>
      </c>
      <c r="W12" s="196">
        <f t="shared" si="9"/>
        <v>0</v>
      </c>
      <c r="X12" s="222"/>
      <c r="Y12" s="182">
        <f t="shared" si="10"/>
        <v>0</v>
      </c>
      <c r="Z12" s="183">
        <f>'PRESUPUESTOS DE VENTA  '!AD12</f>
        <v>0</v>
      </c>
      <c r="AA12" s="183">
        <f>V12*DATOS!$F$36+V12</f>
        <v>0</v>
      </c>
      <c r="AB12" s="235">
        <f t="shared" si="11"/>
        <v>0</v>
      </c>
      <c r="AC12" s="185">
        <f t="shared" si="12"/>
        <v>0</v>
      </c>
    </row>
    <row r="13" spans="2:30" ht="15.75" thickBot="1">
      <c r="B13" s="614" t="s">
        <v>47</v>
      </c>
      <c r="C13" s="615"/>
      <c r="D13" s="616"/>
      <c r="E13" s="225">
        <f>SUM(E3:E12)</f>
        <v>572527783.4954405</v>
      </c>
      <c r="F13" s="220"/>
      <c r="G13" s="614" t="s">
        <v>48</v>
      </c>
      <c r="H13" s="615"/>
      <c r="I13" s="615"/>
      <c r="J13" s="618"/>
      <c r="K13" s="77">
        <f>SUM(K3:K12)</f>
        <v>626377559.6262307</v>
      </c>
      <c r="L13" s="220"/>
      <c r="M13" s="614" t="s">
        <v>49</v>
      </c>
      <c r="N13" s="615"/>
      <c r="O13" s="615"/>
      <c r="P13" s="618"/>
      <c r="Q13" s="226">
        <f>SUM(Q3:Q12)</f>
        <v>684024600</v>
      </c>
      <c r="R13" s="220"/>
      <c r="S13" s="614" t="s">
        <v>50</v>
      </c>
      <c r="T13" s="615"/>
      <c r="U13" s="616"/>
      <c r="V13" s="227"/>
      <c r="W13" s="77">
        <f>SUM(W3:W12)</f>
        <v>748168016</v>
      </c>
      <c r="X13" s="222"/>
      <c r="Y13" s="614" t="s">
        <v>51</v>
      </c>
      <c r="Z13" s="615"/>
      <c r="AA13" s="616"/>
      <c r="AB13" s="228"/>
      <c r="AC13" s="226">
        <f>SUM(AC3:AC12)</f>
        <v>816829750</v>
      </c>
      <c r="AD13" s="458">
        <f>+AC13+W13+Q13+K13+E13</f>
        <v>3447927709.121671</v>
      </c>
    </row>
    <row r="14" spans="2:29" ht="15">
      <c r="B14" s="12"/>
      <c r="C14" s="12"/>
      <c r="D14" s="12"/>
      <c r="E14" s="12"/>
      <c r="G14" s="12"/>
      <c r="H14" s="12"/>
      <c r="I14" s="12"/>
      <c r="J14" s="12"/>
      <c r="K14" s="12"/>
      <c r="M14" s="12"/>
      <c r="N14" s="12"/>
      <c r="O14" s="12"/>
      <c r="P14" s="12"/>
      <c r="Q14" s="12"/>
      <c r="S14" s="12"/>
      <c r="T14" s="12"/>
      <c r="U14" s="12"/>
      <c r="V14" s="12"/>
      <c r="W14" s="12"/>
      <c r="X14" s="64"/>
      <c r="Y14" s="12"/>
      <c r="Z14" s="12"/>
      <c r="AA14" s="12"/>
      <c r="AB14" s="12"/>
      <c r="AC14" s="12"/>
    </row>
    <row r="15" spans="2:29" ht="15">
      <c r="B15" s="617"/>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row>
    <row r="16" spans="2:29" ht="15">
      <c r="B16" s="617"/>
      <c r="C16" s="617"/>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row>
    <row r="17" spans="2:29" ht="15">
      <c r="B17" s="617"/>
      <c r="C17" s="617"/>
      <c r="D17" s="617"/>
      <c r="E17" s="617"/>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row>
    <row r="18" spans="2:29" ht="15">
      <c r="B18" s="12"/>
      <c r="C18" s="12"/>
      <c r="D18" s="12"/>
      <c r="E18" s="12"/>
      <c r="G18" s="12"/>
      <c r="H18" s="12"/>
      <c r="I18" s="12"/>
      <c r="J18" s="12"/>
      <c r="K18" s="12"/>
      <c r="M18" s="12"/>
      <c r="N18" s="12"/>
      <c r="O18" s="12"/>
      <c r="P18" s="12"/>
      <c r="Q18" s="12"/>
      <c r="S18" s="12"/>
      <c r="T18" s="12"/>
      <c r="U18" s="12"/>
      <c r="V18" s="12"/>
      <c r="W18" s="12"/>
      <c r="X18" s="12"/>
      <c r="Y18" s="12"/>
      <c r="Z18" s="12"/>
      <c r="AA18" s="12"/>
      <c r="AB18" s="12"/>
      <c r="AC18" s="12"/>
    </row>
    <row r="19" spans="2:29" ht="15">
      <c r="B19" s="12"/>
      <c r="C19" s="12"/>
      <c r="D19" s="12"/>
      <c r="E19" s="12"/>
      <c r="G19" s="12"/>
      <c r="H19" s="12"/>
      <c r="I19" s="12"/>
      <c r="J19" s="12"/>
      <c r="K19" s="12"/>
      <c r="M19" s="12"/>
      <c r="N19" s="12"/>
      <c r="O19" s="12"/>
      <c r="P19" s="12"/>
      <c r="Q19" s="12"/>
      <c r="S19" s="12"/>
      <c r="T19" s="12"/>
      <c r="U19" s="12"/>
      <c r="V19" s="12"/>
      <c r="W19" s="12"/>
      <c r="X19" s="12"/>
      <c r="Y19" s="12"/>
      <c r="Z19" s="12"/>
      <c r="AA19" s="12"/>
      <c r="AB19" s="12"/>
      <c r="AC19" s="12"/>
    </row>
    <row r="20" spans="2:29" ht="15">
      <c r="B20" s="12"/>
      <c r="C20" s="12"/>
      <c r="D20" s="12"/>
      <c r="E20" s="12"/>
      <c r="G20" s="12"/>
      <c r="H20" s="12"/>
      <c r="I20" s="12"/>
      <c r="J20" s="12"/>
      <c r="K20" s="12"/>
      <c r="M20" s="12"/>
      <c r="N20" s="12"/>
      <c r="O20" s="12"/>
      <c r="P20" s="12"/>
      <c r="Q20" s="12"/>
      <c r="S20" s="12"/>
      <c r="T20" s="12"/>
      <c r="U20" s="12"/>
      <c r="V20" s="12"/>
      <c r="W20" s="12"/>
      <c r="X20" s="12"/>
      <c r="Y20" s="12"/>
      <c r="Z20" s="12"/>
      <c r="AA20" s="12"/>
      <c r="AB20" s="12"/>
      <c r="AC20" s="12"/>
    </row>
    <row r="21" spans="2:29" ht="15">
      <c r="B21" s="12"/>
      <c r="C21" s="12"/>
      <c r="D21" s="12"/>
      <c r="E21" s="432">
        <f>+E13+'PRESUPESTOS MOD'!D7+'PRESUPUESTOS DE CIF'!D4+'PRESUPUESTO DE GASTOS ADMINISTR'!F6+'PRESUPUESTO DE PUBLICIDAD'!C9+'PRESUPUESTO DE INVERSION'!C4+'PRESUPUESTO DE INVERSION'!C5+'PRESUPUESTO DE INVERSION'!C6+'PRESUPUESTO DE INVERSION'!C7+'PRESUPUESTO DE INVERSION'!C8-'PRESUPUESTOS DE CIF'!C4-'PRESUPUESTO DE GASTOS ADMINISTR'!E6</f>
        <v>1018748806.2125005</v>
      </c>
      <c r="G21" s="12"/>
      <c r="H21" s="12"/>
      <c r="I21" s="12"/>
      <c r="J21" s="12"/>
      <c r="K21" s="12"/>
      <c r="M21" s="12"/>
      <c r="N21" s="12"/>
      <c r="O21" s="12"/>
      <c r="P21" s="12"/>
      <c r="Q21" s="12"/>
      <c r="S21" s="12"/>
      <c r="T21" s="12"/>
      <c r="U21" s="12"/>
      <c r="V21" s="12"/>
      <c r="W21" s="12"/>
      <c r="X21" s="12"/>
      <c r="Y21" s="12"/>
      <c r="Z21" s="12"/>
      <c r="AA21" s="12"/>
      <c r="AB21" s="12"/>
      <c r="AC21" s="12"/>
    </row>
    <row r="22" spans="2:29" ht="15">
      <c r="B22" s="12"/>
      <c r="C22" s="12"/>
      <c r="D22" s="12"/>
      <c r="E22" s="432">
        <f>+E21/329</f>
        <v>3096500.9307370833</v>
      </c>
      <c r="G22" s="450">
        <f>+E22*95%</f>
        <v>2941675.884200229</v>
      </c>
      <c r="H22" s="449"/>
      <c r="I22" s="12"/>
      <c r="J22" s="12"/>
      <c r="K22" s="12"/>
      <c r="M22" s="12"/>
      <c r="N22" s="12"/>
      <c r="O22" s="12"/>
      <c r="P22" s="12"/>
      <c r="Q22" s="12"/>
      <c r="S22" s="12"/>
      <c r="T22" s="12"/>
      <c r="U22" s="12"/>
      <c r="V22" s="12"/>
      <c r="W22" s="12"/>
      <c r="X22" s="12"/>
      <c r="Y22" s="12"/>
      <c r="Z22" s="12"/>
      <c r="AA22" s="12"/>
      <c r="AB22" s="12"/>
      <c r="AC22" s="12"/>
    </row>
    <row r="23" spans="2:29" ht="15">
      <c r="B23" s="12"/>
      <c r="C23" s="12"/>
      <c r="D23" s="12"/>
      <c r="E23" s="451">
        <f>1-5.4%</f>
        <v>0.946</v>
      </c>
      <c r="G23" s="449"/>
      <c r="H23" s="12"/>
      <c r="I23" s="12"/>
      <c r="J23" s="12"/>
      <c r="K23" s="12"/>
      <c r="M23" s="12"/>
      <c r="N23" s="12"/>
      <c r="O23" s="12"/>
      <c r="P23" s="12"/>
      <c r="Q23" s="12"/>
      <c r="S23" s="12"/>
      <c r="T23" s="12"/>
      <c r="U23" s="12"/>
      <c r="V23" s="12"/>
      <c r="W23" s="12"/>
      <c r="X23" s="12"/>
      <c r="Y23" s="12"/>
      <c r="Z23" s="12"/>
      <c r="AA23" s="12"/>
      <c r="AB23" s="12"/>
      <c r="AC23" s="12"/>
    </row>
    <row r="24" spans="2:29" ht="15">
      <c r="B24" s="12"/>
      <c r="C24" s="12"/>
      <c r="D24" s="12"/>
      <c r="E24" s="432">
        <f>+E22/E23</f>
        <v>3273256.797819327</v>
      </c>
      <c r="G24" s="12"/>
      <c r="H24" s="12"/>
      <c r="I24" s="12"/>
      <c r="J24" s="12"/>
      <c r="K24" s="12"/>
      <c r="M24" s="12"/>
      <c r="N24" s="12"/>
      <c r="O24" s="12"/>
      <c r="P24" s="12"/>
      <c r="Q24" s="12"/>
      <c r="S24" s="12"/>
      <c r="T24" s="12"/>
      <c r="U24" s="12"/>
      <c r="V24" s="12"/>
      <c r="W24" s="12"/>
      <c r="X24" s="12"/>
      <c r="Y24" s="12"/>
      <c r="Z24" s="12"/>
      <c r="AA24" s="12"/>
      <c r="AB24" s="12"/>
      <c r="AC24" s="12"/>
    </row>
    <row r="25" spans="2:29" ht="15">
      <c r="B25" s="12"/>
      <c r="C25" s="12"/>
      <c r="D25" s="12"/>
      <c r="E25" s="12"/>
      <c r="G25" s="12"/>
      <c r="H25" s="12"/>
      <c r="I25" s="12"/>
      <c r="J25" s="12"/>
      <c r="K25" s="12"/>
      <c r="M25" s="12"/>
      <c r="N25" s="12"/>
      <c r="O25" s="12"/>
      <c r="P25" s="12"/>
      <c r="Q25" s="12"/>
      <c r="S25" s="12"/>
      <c r="T25" s="12"/>
      <c r="U25" s="12"/>
      <c r="V25" s="12"/>
      <c r="W25" s="12"/>
      <c r="X25" s="12"/>
      <c r="Y25" s="12"/>
      <c r="Z25" s="12"/>
      <c r="AA25" s="12"/>
      <c r="AB25" s="12"/>
      <c r="AC25" s="12"/>
    </row>
    <row r="26" spans="2:29" ht="15">
      <c r="B26" s="12"/>
      <c r="C26" s="12"/>
      <c r="D26" s="12"/>
      <c r="E26" s="44"/>
      <c r="G26" s="12"/>
      <c r="H26" s="12"/>
      <c r="I26" s="12"/>
      <c r="J26" s="12"/>
      <c r="K26" s="12"/>
      <c r="M26" s="12"/>
      <c r="N26" s="12"/>
      <c r="O26" s="12"/>
      <c r="P26" s="12"/>
      <c r="Q26" s="12"/>
      <c r="S26" s="12"/>
      <c r="T26" s="12"/>
      <c r="U26" s="12"/>
      <c r="V26" s="12"/>
      <c r="W26" s="12"/>
      <c r="X26" s="12"/>
      <c r="Y26" s="12"/>
      <c r="Z26" s="12"/>
      <c r="AA26" s="12"/>
      <c r="AB26" s="12"/>
      <c r="AC26" s="12"/>
    </row>
    <row r="27" spans="2:29" ht="15">
      <c r="B27" s="12"/>
      <c r="C27" s="12"/>
      <c r="D27" s="12"/>
      <c r="E27" s="452"/>
      <c r="G27" s="12"/>
      <c r="H27" s="12"/>
      <c r="I27" s="12"/>
      <c r="J27" s="12"/>
      <c r="K27" s="12"/>
      <c r="M27" s="12"/>
      <c r="N27" s="12"/>
      <c r="O27" s="12"/>
      <c r="P27" s="12"/>
      <c r="Q27" s="12"/>
      <c r="S27" s="12"/>
      <c r="T27" s="12"/>
      <c r="U27" s="12"/>
      <c r="V27" s="12"/>
      <c r="W27" s="12"/>
      <c r="X27" s="12"/>
      <c r="Y27" s="12"/>
      <c r="Z27" s="12"/>
      <c r="AA27" s="12"/>
      <c r="AB27" s="12"/>
      <c r="AC27" s="12"/>
    </row>
    <row r="28" spans="2:29" ht="15">
      <c r="B28" s="12"/>
      <c r="C28" s="12"/>
      <c r="D28" s="12"/>
      <c r="E28" s="12"/>
      <c r="G28" s="12"/>
      <c r="H28" s="12"/>
      <c r="I28" s="12"/>
      <c r="J28" s="12"/>
      <c r="K28" s="12"/>
      <c r="M28" s="12"/>
      <c r="N28" s="12"/>
      <c r="O28" s="12"/>
      <c r="P28" s="12"/>
      <c r="Q28" s="12"/>
      <c r="S28" s="12"/>
      <c r="T28" s="12"/>
      <c r="U28" s="12"/>
      <c r="V28" s="12"/>
      <c r="W28" s="12"/>
      <c r="X28" s="12"/>
      <c r="Y28" s="12"/>
      <c r="Z28" s="12"/>
      <c r="AA28" s="12"/>
      <c r="AB28" s="12"/>
      <c r="AC28" s="12"/>
    </row>
    <row r="29" spans="2:29" ht="15">
      <c r="B29" s="12"/>
      <c r="C29" s="12"/>
      <c r="D29" s="12"/>
      <c r="E29" s="12"/>
      <c r="G29" s="12"/>
      <c r="H29" s="12"/>
      <c r="I29" s="12"/>
      <c r="J29" s="12"/>
      <c r="K29" s="12"/>
      <c r="M29" s="12"/>
      <c r="N29" s="12"/>
      <c r="O29" s="12"/>
      <c r="P29" s="12"/>
      <c r="Q29" s="12"/>
      <c r="S29" s="12"/>
      <c r="T29" s="12"/>
      <c r="U29" s="12"/>
      <c r="V29" s="12"/>
      <c r="W29" s="12"/>
      <c r="X29" s="12"/>
      <c r="Y29" s="12"/>
      <c r="Z29" s="12"/>
      <c r="AA29" s="12"/>
      <c r="AB29" s="12"/>
      <c r="AC29" s="12"/>
    </row>
    <row r="30" spans="2:29" ht="15">
      <c r="B30" s="12"/>
      <c r="C30" s="12"/>
      <c r="D30" s="12"/>
      <c r="E30" s="12"/>
      <c r="G30" s="12"/>
      <c r="H30" s="12"/>
      <c r="I30" s="12"/>
      <c r="J30" s="12"/>
      <c r="K30" s="12"/>
      <c r="M30" s="12"/>
      <c r="N30" s="12"/>
      <c r="O30" s="12"/>
      <c r="P30" s="12"/>
      <c r="Q30" s="12"/>
      <c r="S30" s="12"/>
      <c r="T30" s="12"/>
      <c r="U30" s="12"/>
      <c r="V30" s="12"/>
      <c r="W30" s="12"/>
      <c r="X30" s="12"/>
      <c r="Y30" s="12"/>
      <c r="Z30" s="12"/>
      <c r="AA30" s="12"/>
      <c r="AB30" s="12"/>
      <c r="AC30" s="12"/>
    </row>
    <row r="31" spans="2:29" ht="15">
      <c r="B31" s="12"/>
      <c r="C31" s="12"/>
      <c r="D31" s="12"/>
      <c r="E31" s="12"/>
      <c r="G31" s="12"/>
      <c r="H31" s="12"/>
      <c r="I31" s="12"/>
      <c r="J31" s="12"/>
      <c r="K31" s="12"/>
      <c r="M31" s="12"/>
      <c r="N31" s="12"/>
      <c r="O31" s="12"/>
      <c r="P31" s="12"/>
      <c r="Q31" s="12"/>
      <c r="S31" s="12"/>
      <c r="T31" s="12"/>
      <c r="U31" s="12"/>
      <c r="V31" s="12"/>
      <c r="W31" s="12"/>
      <c r="X31" s="12"/>
      <c r="Y31" s="12"/>
      <c r="Z31" s="12"/>
      <c r="AA31" s="12"/>
      <c r="AB31" s="12"/>
      <c r="AC31" s="12"/>
    </row>
    <row r="32" spans="2:29" ht="15">
      <c r="B32" s="12"/>
      <c r="C32" s="12"/>
      <c r="D32" s="12"/>
      <c r="E32" s="12"/>
      <c r="G32" s="12"/>
      <c r="H32" s="12"/>
      <c r="I32" s="12"/>
      <c r="J32" s="12"/>
      <c r="K32" s="12"/>
      <c r="M32" s="12"/>
      <c r="N32" s="12"/>
      <c r="O32" s="12"/>
      <c r="P32" s="12"/>
      <c r="Q32" s="12"/>
      <c r="S32" s="12"/>
      <c r="T32" s="12"/>
      <c r="U32" s="12"/>
      <c r="V32" s="12"/>
      <c r="W32" s="12"/>
      <c r="X32" s="12"/>
      <c r="Y32" s="12"/>
      <c r="Z32" s="12"/>
      <c r="AA32" s="12"/>
      <c r="AB32" s="12"/>
      <c r="AC32" s="12"/>
    </row>
    <row r="33" s="12" customFormat="1" ht="15">
      <c r="A33" s="239"/>
    </row>
    <row r="34" s="12" customFormat="1" ht="15">
      <c r="A34" s="239"/>
    </row>
    <row r="35" s="12" customFormat="1" ht="15">
      <c r="A35" s="239"/>
    </row>
    <row r="36" s="12" customFormat="1" ht="15">
      <c r="A36" s="239"/>
    </row>
    <row r="37" s="12" customFormat="1" ht="15">
      <c r="A37" s="239"/>
    </row>
    <row r="38" s="12" customFormat="1" ht="15">
      <c r="A38" s="239"/>
    </row>
    <row r="39" s="12" customFormat="1" ht="15">
      <c r="A39" s="239"/>
    </row>
    <row r="40" s="12" customFormat="1" ht="15">
      <c r="A40" s="239"/>
    </row>
    <row r="41" s="12" customFormat="1" ht="15">
      <c r="A41" s="239"/>
    </row>
    <row r="42" s="12" customFormat="1" ht="15">
      <c r="A42" s="239"/>
    </row>
    <row r="43" s="12" customFormat="1" ht="15">
      <c r="A43" s="239"/>
    </row>
    <row r="44" s="12" customFormat="1" ht="15">
      <c r="A44" s="239"/>
    </row>
    <row r="45" s="12" customFormat="1" ht="15">
      <c r="A45" s="239"/>
    </row>
    <row r="46" s="12" customFormat="1" ht="15">
      <c r="A46" s="239"/>
    </row>
    <row r="47" s="12" customFormat="1" ht="15">
      <c r="A47" s="239"/>
    </row>
    <row r="48" s="12" customFormat="1" ht="15">
      <c r="A48" s="239"/>
    </row>
    <row r="49" s="12" customFormat="1" ht="15">
      <c r="A49" s="239"/>
    </row>
    <row r="50" s="12" customFormat="1" ht="15">
      <c r="A50" s="239"/>
    </row>
    <row r="51" s="12" customFormat="1" ht="15">
      <c r="A51" s="239"/>
    </row>
    <row r="52" s="12" customFormat="1" ht="15">
      <c r="A52" s="239"/>
    </row>
    <row r="53" s="12" customFormat="1" ht="15">
      <c r="A53" s="239"/>
    </row>
    <row r="54" s="12" customFormat="1" ht="15">
      <c r="A54" s="239"/>
    </row>
    <row r="55" s="12" customFormat="1" ht="15">
      <c r="A55" s="239"/>
    </row>
    <row r="56" s="12" customFormat="1" ht="15">
      <c r="A56" s="239"/>
    </row>
    <row r="57" s="12" customFormat="1" ht="15">
      <c r="A57" s="239"/>
    </row>
    <row r="58" s="12" customFormat="1" ht="15">
      <c r="A58" s="239"/>
    </row>
    <row r="59" s="12" customFormat="1" ht="15">
      <c r="A59" s="239"/>
    </row>
    <row r="60" s="12" customFormat="1" ht="15">
      <c r="A60" s="239"/>
    </row>
    <row r="61" s="12" customFormat="1" ht="15">
      <c r="A61" s="239"/>
    </row>
    <row r="62" s="12" customFormat="1" ht="15">
      <c r="A62" s="239"/>
    </row>
    <row r="63" s="12" customFormat="1" ht="15">
      <c r="A63" s="239"/>
    </row>
    <row r="64" s="12" customFormat="1" ht="15">
      <c r="A64" s="239"/>
    </row>
    <row r="65" s="12" customFormat="1" ht="15">
      <c r="A65" s="239"/>
    </row>
    <row r="66" s="12" customFormat="1" ht="15">
      <c r="A66" s="239"/>
    </row>
    <row r="67" s="12" customFormat="1" ht="15">
      <c r="A67" s="239"/>
    </row>
    <row r="68" s="12" customFormat="1" ht="15">
      <c r="A68" s="239"/>
    </row>
    <row r="69" s="12" customFormat="1" ht="15">
      <c r="A69" s="239"/>
    </row>
    <row r="70" s="12" customFormat="1" ht="15">
      <c r="A70" s="239"/>
    </row>
    <row r="71" s="12" customFormat="1" ht="15">
      <c r="A71" s="239"/>
    </row>
    <row r="72" s="12" customFormat="1" ht="15">
      <c r="A72" s="239"/>
    </row>
    <row r="73" s="12" customFormat="1" ht="15">
      <c r="A73" s="239"/>
    </row>
    <row r="74" s="12" customFormat="1" ht="15">
      <c r="A74" s="239"/>
    </row>
    <row r="75" s="12" customFormat="1" ht="15">
      <c r="A75" s="239"/>
    </row>
    <row r="76" s="12" customFormat="1" ht="15">
      <c r="A76" s="239"/>
    </row>
    <row r="77" s="12" customFormat="1" ht="15">
      <c r="A77" s="239"/>
    </row>
    <row r="78" s="12" customFormat="1" ht="15">
      <c r="A78" s="239"/>
    </row>
    <row r="79" s="12" customFormat="1" ht="15">
      <c r="A79" s="239"/>
    </row>
    <row r="80" s="12" customFormat="1" ht="15">
      <c r="A80" s="239"/>
    </row>
    <row r="81" s="12" customFormat="1" ht="15">
      <c r="A81" s="239"/>
    </row>
    <row r="82" s="12" customFormat="1" ht="15">
      <c r="A82" s="239"/>
    </row>
    <row r="83" s="12" customFormat="1" ht="15">
      <c r="A83" s="239"/>
    </row>
    <row r="84" s="12" customFormat="1" ht="15">
      <c r="A84" s="239"/>
    </row>
    <row r="85" s="12" customFormat="1" ht="15">
      <c r="A85" s="239"/>
    </row>
    <row r="86" s="12" customFormat="1" ht="15">
      <c r="A86" s="239"/>
    </row>
    <row r="87" s="12" customFormat="1" ht="15">
      <c r="A87" s="239"/>
    </row>
    <row r="88" s="12" customFormat="1" ht="15">
      <c r="A88" s="239"/>
    </row>
    <row r="89" s="12" customFormat="1" ht="15">
      <c r="A89" s="239"/>
    </row>
    <row r="90" s="12" customFormat="1" ht="15">
      <c r="A90" s="239"/>
    </row>
    <row r="91" s="12" customFormat="1" ht="15">
      <c r="A91" s="239"/>
    </row>
    <row r="92" s="12" customFormat="1" ht="15">
      <c r="A92" s="239"/>
    </row>
    <row r="93" s="12" customFormat="1" ht="15">
      <c r="A93" s="239"/>
    </row>
    <row r="94" s="12" customFormat="1" ht="15">
      <c r="A94" s="239"/>
    </row>
    <row r="95" s="12" customFormat="1" ht="15">
      <c r="A95" s="239"/>
    </row>
    <row r="96" s="12" customFormat="1" ht="15">
      <c r="A96" s="239"/>
    </row>
    <row r="97" s="12" customFormat="1" ht="15">
      <c r="A97" s="239"/>
    </row>
    <row r="98" s="12" customFormat="1" ht="15">
      <c r="A98" s="239"/>
    </row>
    <row r="99" s="12" customFormat="1" ht="15">
      <c r="A99" s="239"/>
    </row>
    <row r="100" s="12" customFormat="1" ht="15">
      <c r="A100" s="239"/>
    </row>
    <row r="101" s="12" customFormat="1" ht="15">
      <c r="A101" s="239"/>
    </row>
    <row r="102" s="12" customFormat="1" ht="15">
      <c r="A102" s="239"/>
    </row>
    <row r="103" s="12" customFormat="1" ht="15">
      <c r="A103" s="239"/>
    </row>
    <row r="104" s="12" customFormat="1" ht="15">
      <c r="A104" s="239"/>
    </row>
    <row r="105" s="12" customFormat="1" ht="15">
      <c r="A105" s="239"/>
    </row>
    <row r="106" s="12" customFormat="1" ht="15">
      <c r="A106" s="239"/>
    </row>
    <row r="107" s="12" customFormat="1" ht="15">
      <c r="A107" s="239"/>
    </row>
    <row r="108" s="12" customFormat="1" ht="15">
      <c r="A108" s="239"/>
    </row>
    <row r="109" s="12" customFormat="1" ht="15">
      <c r="A109" s="239"/>
    </row>
    <row r="110" s="12" customFormat="1" ht="15">
      <c r="A110" s="239"/>
    </row>
    <row r="111" s="12" customFormat="1" ht="15">
      <c r="A111" s="239"/>
    </row>
    <row r="112" s="12" customFormat="1" ht="15">
      <c r="A112" s="239"/>
    </row>
    <row r="113" s="12" customFormat="1" ht="15">
      <c r="A113" s="239"/>
    </row>
    <row r="114" s="12" customFormat="1" ht="15">
      <c r="A114" s="239"/>
    </row>
    <row r="115" s="12" customFormat="1" ht="15">
      <c r="A115" s="239"/>
    </row>
    <row r="116" s="12" customFormat="1" ht="15">
      <c r="A116" s="239"/>
    </row>
    <row r="117" s="12" customFormat="1" ht="15">
      <c r="A117" s="239"/>
    </row>
    <row r="118" s="12" customFormat="1" ht="15">
      <c r="A118" s="239"/>
    </row>
    <row r="119" s="12" customFormat="1" ht="15">
      <c r="A119" s="239"/>
    </row>
    <row r="120" s="12" customFormat="1" ht="15">
      <c r="A120" s="239"/>
    </row>
    <row r="121" s="12" customFormat="1" ht="15">
      <c r="A121" s="239"/>
    </row>
    <row r="122" s="12" customFormat="1" ht="15">
      <c r="A122" s="239"/>
    </row>
    <row r="123" s="12" customFormat="1" ht="15">
      <c r="A123" s="239"/>
    </row>
    <row r="124" s="12" customFormat="1" ht="15">
      <c r="A124" s="239"/>
    </row>
    <row r="125" s="12" customFormat="1" ht="15">
      <c r="A125" s="239"/>
    </row>
    <row r="126" s="12" customFormat="1" ht="15">
      <c r="A126" s="239"/>
    </row>
    <row r="127" s="12" customFormat="1" ht="15">
      <c r="A127" s="239"/>
    </row>
    <row r="128" s="12" customFormat="1" ht="15">
      <c r="A128" s="239"/>
    </row>
    <row r="129" s="12" customFormat="1" ht="15">
      <c r="A129" s="239"/>
    </row>
    <row r="130" s="12" customFormat="1" ht="15">
      <c r="A130" s="239"/>
    </row>
    <row r="131" s="12" customFormat="1" ht="15">
      <c r="A131" s="239"/>
    </row>
    <row r="132" s="12" customFormat="1" ht="15">
      <c r="A132" s="239"/>
    </row>
    <row r="133" s="12" customFormat="1" ht="15">
      <c r="A133" s="239"/>
    </row>
    <row r="134" s="12" customFormat="1" ht="15">
      <c r="A134" s="239"/>
    </row>
    <row r="135" s="12" customFormat="1" ht="15">
      <c r="A135" s="239"/>
    </row>
    <row r="136" s="12" customFormat="1" ht="15">
      <c r="A136" s="239"/>
    </row>
    <row r="137" s="12" customFormat="1" ht="15">
      <c r="A137" s="239"/>
    </row>
    <row r="138" s="12" customFormat="1" ht="15">
      <c r="A138" s="239"/>
    </row>
    <row r="139" s="12" customFormat="1" ht="15">
      <c r="A139" s="239"/>
    </row>
    <row r="140" s="12" customFormat="1" ht="15">
      <c r="A140" s="239"/>
    </row>
    <row r="141" s="12" customFormat="1" ht="15">
      <c r="A141" s="239"/>
    </row>
    <row r="142" s="12" customFormat="1" ht="15">
      <c r="A142" s="239"/>
    </row>
    <row r="143" s="12" customFormat="1" ht="15">
      <c r="A143" s="239"/>
    </row>
    <row r="144" s="12" customFormat="1" ht="15">
      <c r="A144" s="239"/>
    </row>
    <row r="145" s="12" customFormat="1" ht="15">
      <c r="A145" s="239"/>
    </row>
    <row r="146" s="12" customFormat="1" ht="15">
      <c r="A146" s="239"/>
    </row>
    <row r="147" s="12" customFormat="1" ht="15">
      <c r="A147" s="239"/>
    </row>
    <row r="148" s="12" customFormat="1" ht="15">
      <c r="A148" s="239"/>
    </row>
    <row r="149" s="12" customFormat="1" ht="15">
      <c r="A149" s="239"/>
    </row>
    <row r="150" s="12" customFormat="1" ht="15">
      <c r="A150" s="239"/>
    </row>
    <row r="151" s="12" customFormat="1" ht="15">
      <c r="A151" s="239"/>
    </row>
    <row r="152" s="12" customFormat="1" ht="15">
      <c r="A152" s="239"/>
    </row>
    <row r="153" s="12" customFormat="1" ht="15">
      <c r="A153" s="239"/>
    </row>
    <row r="154" s="12" customFormat="1" ht="15">
      <c r="A154" s="239"/>
    </row>
    <row r="155" s="12" customFormat="1" ht="15">
      <c r="A155" s="239"/>
    </row>
    <row r="156" s="12" customFormat="1" ht="15">
      <c r="A156" s="239"/>
    </row>
    <row r="157" s="12" customFormat="1" ht="15">
      <c r="A157" s="239"/>
    </row>
    <row r="158" s="12" customFormat="1" ht="15">
      <c r="A158" s="239"/>
    </row>
    <row r="159" s="12" customFormat="1" ht="15">
      <c r="A159" s="239"/>
    </row>
    <row r="160" s="12" customFormat="1" ht="15">
      <c r="A160" s="239"/>
    </row>
    <row r="161" s="12" customFormat="1" ht="15">
      <c r="A161" s="239"/>
    </row>
    <row r="162" s="12" customFormat="1" ht="15">
      <c r="A162" s="239"/>
    </row>
    <row r="163" s="12" customFormat="1" ht="15">
      <c r="A163" s="239"/>
    </row>
    <row r="164" s="12" customFormat="1" ht="15">
      <c r="A164" s="239"/>
    </row>
    <row r="165" s="12" customFormat="1" ht="15">
      <c r="A165" s="239"/>
    </row>
    <row r="166" s="12" customFormat="1" ht="15">
      <c r="A166" s="239"/>
    </row>
    <row r="167" s="12" customFormat="1" ht="15">
      <c r="A167" s="239"/>
    </row>
    <row r="168" s="12" customFormat="1" ht="15">
      <c r="A168" s="239"/>
    </row>
    <row r="169" s="12" customFormat="1" ht="15">
      <c r="A169" s="239"/>
    </row>
    <row r="170" s="12" customFormat="1" ht="15">
      <c r="A170" s="239"/>
    </row>
    <row r="171" s="12" customFormat="1" ht="15">
      <c r="A171" s="239"/>
    </row>
    <row r="172" s="12" customFormat="1" ht="15">
      <c r="A172" s="239"/>
    </row>
    <row r="173" s="12" customFormat="1" ht="15">
      <c r="A173" s="239"/>
    </row>
    <row r="174" s="12" customFormat="1" ht="15">
      <c r="A174" s="239"/>
    </row>
    <row r="175" s="12" customFormat="1" ht="15">
      <c r="A175" s="239"/>
    </row>
    <row r="176" s="12" customFormat="1" ht="15">
      <c r="A176" s="239"/>
    </row>
    <row r="177" s="12" customFormat="1" ht="15">
      <c r="A177" s="239"/>
    </row>
    <row r="178" s="12" customFormat="1" ht="15">
      <c r="A178" s="239"/>
    </row>
    <row r="179" s="12" customFormat="1" ht="15">
      <c r="A179" s="239"/>
    </row>
    <row r="180" s="12" customFormat="1" ht="15">
      <c r="A180" s="239"/>
    </row>
    <row r="181" s="12" customFormat="1" ht="15">
      <c r="A181" s="239"/>
    </row>
    <row r="182" s="12" customFormat="1" ht="15">
      <c r="A182" s="239"/>
    </row>
    <row r="183" s="12" customFormat="1" ht="15">
      <c r="A183" s="239"/>
    </row>
    <row r="184" s="12" customFormat="1" ht="15">
      <c r="A184" s="239"/>
    </row>
    <row r="185" s="12" customFormat="1" ht="15">
      <c r="A185" s="239"/>
    </row>
    <row r="186" s="12" customFormat="1" ht="15">
      <c r="A186" s="239"/>
    </row>
    <row r="187" s="12" customFormat="1" ht="15">
      <c r="A187" s="239"/>
    </row>
    <row r="188" s="12" customFormat="1" ht="15">
      <c r="A188" s="239"/>
    </row>
    <row r="189" s="12" customFormat="1" ht="15">
      <c r="A189" s="239"/>
    </row>
    <row r="190" s="12" customFormat="1" ht="15">
      <c r="A190" s="239"/>
    </row>
    <row r="191" s="12" customFormat="1" ht="15">
      <c r="A191" s="239"/>
    </row>
    <row r="192" s="12" customFormat="1" ht="15">
      <c r="A192" s="239"/>
    </row>
    <row r="193" s="12" customFormat="1" ht="15">
      <c r="A193" s="239"/>
    </row>
    <row r="194" s="12" customFormat="1" ht="15">
      <c r="A194" s="239"/>
    </row>
    <row r="195" s="12" customFormat="1" ht="15">
      <c r="A195" s="239"/>
    </row>
    <row r="196" s="12" customFormat="1" ht="15">
      <c r="A196" s="239"/>
    </row>
    <row r="197" s="12" customFormat="1" ht="15">
      <c r="A197" s="239"/>
    </row>
    <row r="198" s="12" customFormat="1" ht="15">
      <c r="A198" s="239"/>
    </row>
    <row r="199" s="12" customFormat="1" ht="15">
      <c r="A199" s="239"/>
    </row>
    <row r="200" s="12" customFormat="1" ht="15">
      <c r="A200" s="239"/>
    </row>
    <row r="201" s="12" customFormat="1" ht="15">
      <c r="A201" s="239"/>
    </row>
    <row r="202" s="12" customFormat="1" ht="15">
      <c r="A202" s="239"/>
    </row>
    <row r="203" s="12" customFormat="1" ht="15">
      <c r="A203" s="239"/>
    </row>
    <row r="204" s="12" customFormat="1" ht="15">
      <c r="A204" s="239"/>
    </row>
    <row r="205" s="12" customFormat="1" ht="15">
      <c r="A205" s="239"/>
    </row>
    <row r="206" s="12" customFormat="1" ht="15">
      <c r="A206" s="239"/>
    </row>
    <row r="207" s="12" customFormat="1" ht="15">
      <c r="A207" s="239"/>
    </row>
    <row r="208" s="12" customFormat="1" ht="15">
      <c r="A208" s="239"/>
    </row>
    <row r="209" s="12" customFormat="1" ht="15">
      <c r="A209" s="239"/>
    </row>
    <row r="210" s="12" customFormat="1" ht="15">
      <c r="A210" s="239"/>
    </row>
    <row r="211" s="12" customFormat="1" ht="15">
      <c r="A211" s="239"/>
    </row>
    <row r="212" s="12" customFormat="1" ht="15">
      <c r="A212" s="239"/>
    </row>
    <row r="213" s="12" customFormat="1" ht="15">
      <c r="A213" s="239"/>
    </row>
    <row r="214" s="12" customFormat="1" ht="15">
      <c r="A214" s="239"/>
    </row>
    <row r="215" s="12" customFormat="1" ht="15">
      <c r="A215" s="239"/>
    </row>
    <row r="216" s="12" customFormat="1" ht="15">
      <c r="A216" s="239"/>
    </row>
    <row r="217" s="12" customFormat="1" ht="15">
      <c r="A217" s="239"/>
    </row>
    <row r="218" s="12" customFormat="1" ht="15">
      <c r="A218" s="239"/>
    </row>
    <row r="219" s="12" customFormat="1" ht="15">
      <c r="A219" s="239"/>
    </row>
    <row r="220" s="12" customFormat="1" ht="15">
      <c r="A220" s="239"/>
    </row>
    <row r="221" s="12" customFormat="1" ht="15">
      <c r="A221" s="239"/>
    </row>
    <row r="222" s="12" customFormat="1" ht="15">
      <c r="A222" s="239"/>
    </row>
    <row r="223" s="12" customFormat="1" ht="15">
      <c r="A223" s="239"/>
    </row>
    <row r="224" s="12" customFormat="1" ht="15">
      <c r="A224" s="239"/>
    </row>
    <row r="225" s="12" customFormat="1" ht="15">
      <c r="A225" s="239"/>
    </row>
    <row r="226" s="12" customFormat="1" ht="15">
      <c r="A226" s="239"/>
    </row>
    <row r="227" s="12" customFormat="1" ht="15">
      <c r="A227" s="239"/>
    </row>
    <row r="228" s="12" customFormat="1" ht="15">
      <c r="A228" s="239"/>
    </row>
    <row r="229" s="12" customFormat="1" ht="15">
      <c r="A229" s="239"/>
    </row>
    <row r="230" s="12" customFormat="1" ht="15">
      <c r="A230" s="239"/>
    </row>
    <row r="231" s="12" customFormat="1" ht="15">
      <c r="A231" s="239"/>
    </row>
    <row r="232" s="12" customFormat="1" ht="15">
      <c r="A232" s="239"/>
    </row>
    <row r="233" s="12" customFormat="1" ht="15">
      <c r="A233" s="239"/>
    </row>
    <row r="234" s="12" customFormat="1" ht="15">
      <c r="A234" s="239"/>
    </row>
    <row r="235" s="12" customFormat="1" ht="15">
      <c r="A235" s="239"/>
    </row>
    <row r="236" s="12" customFormat="1" ht="15">
      <c r="A236" s="239"/>
    </row>
    <row r="237" s="12" customFormat="1" ht="15">
      <c r="A237" s="239"/>
    </row>
    <row r="238" s="12" customFormat="1" ht="15">
      <c r="A238" s="239"/>
    </row>
    <row r="239" s="12" customFormat="1" ht="15">
      <c r="A239" s="239"/>
    </row>
    <row r="240" s="12" customFormat="1" ht="15">
      <c r="A240" s="239"/>
    </row>
    <row r="241" s="12" customFormat="1" ht="15">
      <c r="A241" s="239"/>
    </row>
    <row r="242" s="12" customFormat="1" ht="15">
      <c r="A242" s="239"/>
    </row>
    <row r="243" s="12" customFormat="1" ht="15">
      <c r="A243" s="239"/>
    </row>
    <row r="244" s="12" customFormat="1" ht="15">
      <c r="A244" s="239"/>
    </row>
    <row r="245" s="12" customFormat="1" ht="15">
      <c r="A245" s="239"/>
    </row>
    <row r="246" s="12" customFormat="1" ht="15">
      <c r="A246" s="239"/>
    </row>
    <row r="247" s="12" customFormat="1" ht="15">
      <c r="A247" s="239"/>
    </row>
    <row r="248" s="12" customFormat="1" ht="15">
      <c r="A248" s="239"/>
    </row>
    <row r="249" s="12" customFormat="1" ht="15">
      <c r="A249" s="239"/>
    </row>
    <row r="250" s="12" customFormat="1" ht="15">
      <c r="A250" s="239"/>
    </row>
    <row r="251" s="12" customFormat="1" ht="15">
      <c r="A251" s="239"/>
    </row>
    <row r="252" s="12" customFormat="1" ht="15">
      <c r="A252" s="239"/>
    </row>
    <row r="253" s="12" customFormat="1" ht="15">
      <c r="A253" s="239"/>
    </row>
    <row r="254" s="12" customFormat="1" ht="15">
      <c r="A254" s="239"/>
    </row>
    <row r="255" s="12" customFormat="1" ht="15">
      <c r="A255" s="239"/>
    </row>
    <row r="256" s="12" customFormat="1" ht="15">
      <c r="A256" s="239"/>
    </row>
    <row r="257" s="12" customFormat="1" ht="15">
      <c r="A257" s="239"/>
    </row>
    <row r="258" s="12" customFormat="1" ht="15">
      <c r="A258" s="239"/>
    </row>
    <row r="259" s="12" customFormat="1" ht="15">
      <c r="A259" s="239"/>
    </row>
    <row r="260" s="12" customFormat="1" ht="15">
      <c r="A260" s="239"/>
    </row>
    <row r="261" s="12" customFormat="1" ht="15">
      <c r="A261" s="239"/>
    </row>
    <row r="262" s="12" customFormat="1" ht="15">
      <c r="A262" s="239"/>
    </row>
    <row r="263" s="12" customFormat="1" ht="15">
      <c r="A263" s="239"/>
    </row>
    <row r="264" s="12" customFormat="1" ht="15">
      <c r="A264" s="239"/>
    </row>
    <row r="265" s="12" customFormat="1" ht="15">
      <c r="A265" s="239"/>
    </row>
    <row r="266" s="12" customFormat="1" ht="15">
      <c r="A266" s="239"/>
    </row>
    <row r="267" s="12" customFormat="1" ht="15">
      <c r="A267" s="239"/>
    </row>
    <row r="268" s="12" customFormat="1" ht="15">
      <c r="A268" s="239"/>
    </row>
    <row r="269" s="12" customFormat="1" ht="15">
      <c r="A269" s="239"/>
    </row>
    <row r="270" s="12" customFormat="1" ht="15">
      <c r="A270" s="239"/>
    </row>
    <row r="271" s="12" customFormat="1" ht="15">
      <c r="A271" s="239"/>
    </row>
    <row r="272" s="12" customFormat="1" ht="15">
      <c r="A272" s="239"/>
    </row>
    <row r="273" s="12" customFormat="1" ht="15">
      <c r="A273" s="239"/>
    </row>
    <row r="274" s="12" customFormat="1" ht="15">
      <c r="A274" s="239"/>
    </row>
    <row r="275" s="12" customFormat="1" ht="15">
      <c r="A275" s="239"/>
    </row>
    <row r="276" s="12" customFormat="1" ht="15">
      <c r="A276" s="239"/>
    </row>
    <row r="277" s="12" customFormat="1" ht="15">
      <c r="A277" s="239"/>
    </row>
    <row r="278" s="12" customFormat="1" ht="15">
      <c r="A278" s="239"/>
    </row>
    <row r="279" s="12" customFormat="1" ht="15">
      <c r="A279" s="239"/>
    </row>
    <row r="280" s="12" customFormat="1" ht="15">
      <c r="A280" s="239"/>
    </row>
    <row r="281" s="12" customFormat="1" ht="15">
      <c r="A281" s="239"/>
    </row>
    <row r="282" s="12" customFormat="1" ht="15">
      <c r="A282" s="239"/>
    </row>
    <row r="283" s="12" customFormat="1" ht="15">
      <c r="A283" s="239"/>
    </row>
    <row r="284" s="12" customFormat="1" ht="15">
      <c r="A284" s="239"/>
    </row>
    <row r="285" s="12" customFormat="1" ht="15">
      <c r="A285" s="239"/>
    </row>
    <row r="286" s="12" customFormat="1" ht="15">
      <c r="A286" s="239"/>
    </row>
    <row r="287" s="12" customFormat="1" ht="15">
      <c r="A287" s="239"/>
    </row>
    <row r="288" s="12" customFormat="1" ht="15">
      <c r="A288" s="239"/>
    </row>
    <row r="289" s="12" customFormat="1" ht="15">
      <c r="A289" s="239"/>
    </row>
    <row r="290" s="12" customFormat="1" ht="15">
      <c r="A290" s="239"/>
    </row>
    <row r="291" s="12" customFormat="1" ht="15">
      <c r="A291" s="239"/>
    </row>
    <row r="292" s="12" customFormat="1" ht="15">
      <c r="A292" s="239"/>
    </row>
    <row r="293" s="12" customFormat="1" ht="15">
      <c r="A293" s="239"/>
    </row>
    <row r="294" s="12" customFormat="1" ht="15">
      <c r="A294" s="239"/>
    </row>
    <row r="295" s="12" customFormat="1" ht="15">
      <c r="A295" s="239"/>
    </row>
    <row r="296" s="12" customFormat="1" ht="15">
      <c r="A296" s="239"/>
    </row>
    <row r="297" s="12" customFormat="1" ht="15">
      <c r="A297" s="239"/>
    </row>
    <row r="298" s="12" customFormat="1" ht="15">
      <c r="A298" s="239"/>
    </row>
    <row r="299" s="12" customFormat="1" ht="15">
      <c r="A299" s="239"/>
    </row>
    <row r="300" s="12" customFormat="1" ht="15">
      <c r="A300" s="239"/>
    </row>
    <row r="301" s="12" customFormat="1" ht="15">
      <c r="A301" s="239"/>
    </row>
    <row r="302" s="12" customFormat="1" ht="15">
      <c r="A302" s="239"/>
    </row>
    <row r="303" s="12" customFormat="1" ht="15">
      <c r="A303" s="239"/>
    </row>
    <row r="304" s="12" customFormat="1" ht="15">
      <c r="A304" s="239"/>
    </row>
    <row r="305" s="12" customFormat="1" ht="15">
      <c r="A305" s="239"/>
    </row>
    <row r="306" s="12" customFormat="1" ht="15">
      <c r="A306" s="239"/>
    </row>
    <row r="307" s="12" customFormat="1" ht="15">
      <c r="A307" s="239"/>
    </row>
    <row r="308" s="12" customFormat="1" ht="15">
      <c r="A308" s="239"/>
    </row>
    <row r="309" s="12" customFormat="1" ht="15">
      <c r="A309" s="239"/>
    </row>
    <row r="310" s="12" customFormat="1" ht="15">
      <c r="A310" s="239"/>
    </row>
    <row r="311" s="12" customFormat="1" ht="15">
      <c r="A311" s="239"/>
    </row>
    <row r="312" s="12" customFormat="1" ht="15">
      <c r="A312" s="239"/>
    </row>
    <row r="313" s="12" customFormat="1" ht="15">
      <c r="A313" s="239"/>
    </row>
    <row r="314" s="12" customFormat="1" ht="15">
      <c r="A314" s="239"/>
    </row>
    <row r="315" s="12" customFormat="1" ht="15">
      <c r="A315" s="239"/>
    </row>
    <row r="316" s="12" customFormat="1" ht="15">
      <c r="A316" s="239"/>
    </row>
    <row r="317" s="12" customFormat="1" ht="15">
      <c r="A317" s="239"/>
    </row>
    <row r="318" s="12" customFormat="1" ht="15">
      <c r="A318" s="239"/>
    </row>
    <row r="319" s="12" customFormat="1" ht="15">
      <c r="A319" s="239"/>
    </row>
    <row r="320" s="12" customFormat="1" ht="15">
      <c r="A320" s="239"/>
    </row>
    <row r="321" s="12" customFormat="1" ht="15">
      <c r="A321" s="239"/>
    </row>
    <row r="322" s="12" customFormat="1" ht="15">
      <c r="A322" s="239"/>
    </row>
    <row r="323" s="12" customFormat="1" ht="15">
      <c r="A323" s="239"/>
    </row>
    <row r="324" s="12" customFormat="1" ht="15">
      <c r="A324" s="239"/>
    </row>
    <row r="325" s="12" customFormat="1" ht="15">
      <c r="A325" s="239"/>
    </row>
    <row r="326" s="12" customFormat="1" ht="15">
      <c r="A326" s="239"/>
    </row>
    <row r="327" s="12" customFormat="1" ht="15">
      <c r="A327" s="239"/>
    </row>
    <row r="328" s="12" customFormat="1" ht="15">
      <c r="A328" s="239"/>
    </row>
    <row r="329" s="12" customFormat="1" ht="15">
      <c r="A329" s="239"/>
    </row>
    <row r="330" s="12" customFormat="1" ht="15">
      <c r="A330" s="239"/>
    </row>
    <row r="331" s="12" customFormat="1" ht="15">
      <c r="A331" s="239"/>
    </row>
    <row r="332" s="12" customFormat="1" ht="15">
      <c r="A332" s="239"/>
    </row>
    <row r="333" s="12" customFormat="1" ht="15">
      <c r="A333" s="239"/>
    </row>
    <row r="334" s="12" customFormat="1" ht="15">
      <c r="A334" s="239"/>
    </row>
    <row r="335" s="12" customFormat="1" ht="15">
      <c r="A335" s="239"/>
    </row>
    <row r="336" s="12" customFormat="1" ht="15">
      <c r="A336" s="239"/>
    </row>
    <row r="337" s="12" customFormat="1" ht="15">
      <c r="A337" s="239"/>
    </row>
    <row r="338" s="12" customFormat="1" ht="15">
      <c r="A338" s="239"/>
    </row>
    <row r="339" s="12" customFormat="1" ht="15">
      <c r="A339" s="239"/>
    </row>
    <row r="340" s="12" customFormat="1" ht="15">
      <c r="A340" s="239"/>
    </row>
    <row r="341" s="12" customFormat="1" ht="15">
      <c r="A341" s="239"/>
    </row>
    <row r="342" s="12" customFormat="1" ht="15">
      <c r="A342" s="239"/>
    </row>
    <row r="343" s="12" customFormat="1" ht="15">
      <c r="A343" s="239"/>
    </row>
    <row r="344" s="12" customFormat="1" ht="15">
      <c r="A344" s="239"/>
    </row>
    <row r="345" s="12" customFormat="1" ht="15">
      <c r="A345" s="239"/>
    </row>
    <row r="346" s="12" customFormat="1" ht="15">
      <c r="A346" s="239"/>
    </row>
    <row r="347" s="12" customFormat="1" ht="15">
      <c r="A347" s="239"/>
    </row>
    <row r="348" s="12" customFormat="1" ht="15">
      <c r="A348" s="239"/>
    </row>
    <row r="349" s="12" customFormat="1" ht="15">
      <c r="A349" s="239"/>
    </row>
    <row r="350" s="12" customFormat="1" ht="15">
      <c r="A350" s="239"/>
    </row>
    <row r="351" s="12" customFormat="1" ht="15">
      <c r="A351" s="239"/>
    </row>
    <row r="352" s="12" customFormat="1" ht="15">
      <c r="A352" s="239"/>
    </row>
    <row r="353" s="12" customFormat="1" ht="15">
      <c r="A353" s="239"/>
    </row>
    <row r="354" s="12" customFormat="1" ht="15">
      <c r="A354" s="239"/>
    </row>
    <row r="355" s="12" customFormat="1" ht="15">
      <c r="A355" s="239"/>
    </row>
    <row r="356" s="12" customFormat="1" ht="15">
      <c r="A356" s="239"/>
    </row>
    <row r="357" s="12" customFormat="1" ht="15">
      <c r="A357" s="239"/>
    </row>
    <row r="358" s="12" customFormat="1" ht="15">
      <c r="A358" s="239"/>
    </row>
    <row r="359" s="12" customFormat="1" ht="15">
      <c r="A359" s="239"/>
    </row>
    <row r="360" s="12" customFormat="1" ht="15">
      <c r="A360" s="239"/>
    </row>
    <row r="361" s="12" customFormat="1" ht="15">
      <c r="A361" s="239"/>
    </row>
    <row r="362" s="12" customFormat="1" ht="15">
      <c r="A362" s="239"/>
    </row>
    <row r="363" s="12" customFormat="1" ht="15">
      <c r="A363" s="239"/>
    </row>
    <row r="364" s="12" customFormat="1" ht="15">
      <c r="A364" s="239"/>
    </row>
    <row r="365" s="12" customFormat="1" ht="15">
      <c r="A365" s="239"/>
    </row>
    <row r="366" s="12" customFormat="1" ht="15">
      <c r="A366" s="239"/>
    </row>
    <row r="367" s="12" customFormat="1" ht="15">
      <c r="A367" s="239"/>
    </row>
    <row r="368" s="12" customFormat="1" ht="15">
      <c r="A368" s="239"/>
    </row>
    <row r="369" s="12" customFormat="1" ht="15">
      <c r="A369" s="239"/>
    </row>
    <row r="370" s="12" customFormat="1" ht="15">
      <c r="A370" s="239"/>
    </row>
    <row r="371" s="12" customFormat="1" ht="15">
      <c r="A371" s="239"/>
    </row>
    <row r="372" s="12" customFormat="1" ht="15">
      <c r="A372" s="239"/>
    </row>
    <row r="373" s="12" customFormat="1" ht="15">
      <c r="A373" s="239"/>
    </row>
    <row r="374" s="12" customFormat="1" ht="15">
      <c r="A374" s="239"/>
    </row>
    <row r="375" s="12" customFormat="1" ht="15">
      <c r="A375" s="239"/>
    </row>
    <row r="376" s="12" customFormat="1" ht="15">
      <c r="A376" s="239"/>
    </row>
    <row r="377" s="12" customFormat="1" ht="15">
      <c r="A377" s="239"/>
    </row>
    <row r="378" s="12" customFormat="1" ht="15">
      <c r="A378" s="239"/>
    </row>
    <row r="379" s="12" customFormat="1" ht="15">
      <c r="A379" s="239"/>
    </row>
    <row r="380" s="12" customFormat="1" ht="15">
      <c r="A380" s="239"/>
    </row>
    <row r="381" s="12" customFormat="1" ht="15">
      <c r="A381" s="239"/>
    </row>
    <row r="382" s="12" customFormat="1" ht="15">
      <c r="A382" s="239"/>
    </row>
    <row r="383" s="12" customFormat="1" ht="15">
      <c r="A383" s="239"/>
    </row>
    <row r="384" s="12" customFormat="1" ht="15">
      <c r="A384" s="239"/>
    </row>
    <row r="385" s="12" customFormat="1" ht="15">
      <c r="A385" s="239"/>
    </row>
    <row r="386" s="12" customFormat="1" ht="15">
      <c r="A386" s="239"/>
    </row>
    <row r="387" s="12" customFormat="1" ht="15">
      <c r="A387" s="239"/>
    </row>
    <row r="388" s="12" customFormat="1" ht="15">
      <c r="A388" s="239"/>
    </row>
    <row r="389" s="12" customFormat="1" ht="15">
      <c r="A389" s="239"/>
    </row>
    <row r="390" s="12" customFormat="1" ht="15">
      <c r="A390" s="239"/>
    </row>
    <row r="391" s="12" customFormat="1" ht="15">
      <c r="A391" s="239"/>
    </row>
    <row r="392" s="12" customFormat="1" ht="15">
      <c r="A392" s="239"/>
    </row>
    <row r="393" s="12" customFormat="1" ht="15">
      <c r="A393" s="239"/>
    </row>
    <row r="394" s="12" customFormat="1" ht="15">
      <c r="A394" s="239"/>
    </row>
    <row r="395" s="12" customFormat="1" ht="15">
      <c r="A395" s="239"/>
    </row>
    <row r="396" s="12" customFormat="1" ht="15">
      <c r="A396" s="239"/>
    </row>
    <row r="397" s="12" customFormat="1" ht="15">
      <c r="A397" s="239"/>
    </row>
    <row r="398" s="12" customFormat="1" ht="15">
      <c r="A398" s="239"/>
    </row>
    <row r="399" s="12" customFormat="1" ht="15">
      <c r="A399" s="239"/>
    </row>
    <row r="400" s="12" customFormat="1" ht="15">
      <c r="A400" s="239"/>
    </row>
    <row r="401" s="12" customFormat="1" ht="15">
      <c r="A401" s="239"/>
    </row>
    <row r="402" s="12" customFormat="1" ht="15">
      <c r="A402" s="239"/>
    </row>
    <row r="403" s="12" customFormat="1" ht="15">
      <c r="A403" s="239"/>
    </row>
    <row r="404" s="12" customFormat="1" ht="15">
      <c r="A404" s="239"/>
    </row>
    <row r="405" s="12" customFormat="1" ht="15">
      <c r="A405" s="239"/>
    </row>
    <row r="406" s="12" customFormat="1" ht="15">
      <c r="A406" s="239"/>
    </row>
    <row r="407" s="12" customFormat="1" ht="15">
      <c r="A407" s="239"/>
    </row>
    <row r="408" s="12" customFormat="1" ht="15">
      <c r="A408" s="239"/>
    </row>
    <row r="409" s="12" customFormat="1" ht="15">
      <c r="A409" s="239"/>
    </row>
    <row r="410" s="12" customFormat="1" ht="15">
      <c r="A410" s="239"/>
    </row>
    <row r="411" s="12" customFormat="1" ht="15">
      <c r="A411" s="239"/>
    </row>
    <row r="412" s="12" customFormat="1" ht="15">
      <c r="A412" s="239"/>
    </row>
    <row r="413" s="12" customFormat="1" ht="15">
      <c r="A413" s="239"/>
    </row>
    <row r="414" s="12" customFormat="1" ht="15">
      <c r="A414" s="239"/>
    </row>
    <row r="415" s="12" customFormat="1" ht="15">
      <c r="A415" s="239"/>
    </row>
    <row r="416" s="12" customFormat="1" ht="15">
      <c r="A416" s="239"/>
    </row>
    <row r="417" s="12" customFormat="1" ht="15">
      <c r="A417" s="239"/>
    </row>
    <row r="418" s="12" customFormat="1" ht="15">
      <c r="A418" s="239"/>
    </row>
    <row r="419" s="12" customFormat="1" ht="15">
      <c r="A419" s="239"/>
    </row>
    <row r="420" s="12" customFormat="1" ht="15">
      <c r="A420" s="239"/>
    </row>
    <row r="421" s="12" customFormat="1" ht="15">
      <c r="A421" s="239"/>
    </row>
    <row r="422" s="12" customFormat="1" ht="15">
      <c r="A422" s="239"/>
    </row>
    <row r="423" s="12" customFormat="1" ht="15">
      <c r="A423" s="239"/>
    </row>
    <row r="424" s="12" customFormat="1" ht="15">
      <c r="A424" s="239"/>
    </row>
    <row r="425" s="12" customFormat="1" ht="15">
      <c r="A425" s="239"/>
    </row>
    <row r="426" s="12" customFormat="1" ht="15">
      <c r="A426" s="239"/>
    </row>
    <row r="427" s="12" customFormat="1" ht="15">
      <c r="A427" s="239"/>
    </row>
    <row r="428" s="12" customFormat="1" ht="15">
      <c r="A428" s="239"/>
    </row>
    <row r="429" s="12" customFormat="1" ht="15">
      <c r="A429" s="239"/>
    </row>
    <row r="430" s="12" customFormat="1" ht="15">
      <c r="A430" s="239"/>
    </row>
    <row r="431" s="12" customFormat="1" ht="15">
      <c r="A431" s="239"/>
    </row>
    <row r="432" s="12" customFormat="1" ht="15">
      <c r="A432" s="239"/>
    </row>
    <row r="433" s="12" customFormat="1" ht="15">
      <c r="A433" s="239"/>
    </row>
    <row r="434" s="12" customFormat="1" ht="15">
      <c r="A434" s="239"/>
    </row>
    <row r="435" s="12" customFormat="1" ht="15">
      <c r="A435" s="239"/>
    </row>
    <row r="436" s="12" customFormat="1" ht="15">
      <c r="A436" s="239"/>
    </row>
    <row r="437" s="12" customFormat="1" ht="15">
      <c r="A437" s="239"/>
    </row>
    <row r="438" s="12" customFormat="1" ht="15">
      <c r="A438" s="239"/>
    </row>
    <row r="439" s="12" customFormat="1" ht="15">
      <c r="A439" s="239"/>
    </row>
    <row r="440" s="12" customFormat="1" ht="15">
      <c r="A440" s="239"/>
    </row>
    <row r="441" s="12" customFormat="1" ht="15">
      <c r="A441" s="239"/>
    </row>
    <row r="442" s="12" customFormat="1" ht="15">
      <c r="A442" s="239"/>
    </row>
    <row r="443" s="12" customFormat="1" ht="15">
      <c r="A443" s="239"/>
    </row>
    <row r="444" s="12" customFormat="1" ht="15">
      <c r="A444" s="239"/>
    </row>
    <row r="445" s="12" customFormat="1" ht="15">
      <c r="A445" s="239"/>
    </row>
    <row r="446" s="12" customFormat="1" ht="15">
      <c r="A446" s="239"/>
    </row>
    <row r="447" s="12" customFormat="1" ht="15">
      <c r="A447" s="239"/>
    </row>
    <row r="448" s="12" customFormat="1" ht="15">
      <c r="A448" s="239"/>
    </row>
    <row r="449" s="12" customFormat="1" ht="15">
      <c r="A449" s="239"/>
    </row>
    <row r="450" s="12" customFormat="1" ht="15">
      <c r="A450" s="239"/>
    </row>
    <row r="451" s="12" customFormat="1" ht="15">
      <c r="A451" s="239"/>
    </row>
    <row r="452" s="12" customFormat="1" ht="15">
      <c r="A452" s="239"/>
    </row>
    <row r="453" s="12" customFormat="1" ht="15">
      <c r="A453" s="239"/>
    </row>
    <row r="454" s="12" customFormat="1" ht="15">
      <c r="A454" s="239"/>
    </row>
    <row r="455" s="12" customFormat="1" ht="15">
      <c r="A455" s="239"/>
    </row>
    <row r="456" s="12" customFormat="1" ht="15">
      <c r="A456" s="239"/>
    </row>
    <row r="457" s="12" customFormat="1" ht="15">
      <c r="A457" s="239"/>
    </row>
    <row r="458" s="12" customFormat="1" ht="15">
      <c r="A458" s="239"/>
    </row>
    <row r="459" s="12" customFormat="1" ht="15">
      <c r="A459" s="239"/>
    </row>
    <row r="460" s="12" customFormat="1" ht="15">
      <c r="A460" s="239"/>
    </row>
    <row r="461" s="12" customFormat="1" ht="15">
      <c r="A461" s="239"/>
    </row>
    <row r="462" s="12" customFormat="1" ht="15">
      <c r="A462" s="239"/>
    </row>
    <row r="463" s="12" customFormat="1" ht="15">
      <c r="A463" s="239"/>
    </row>
    <row r="464" s="12" customFormat="1" ht="15">
      <c r="A464" s="239"/>
    </row>
    <row r="465" s="12" customFormat="1" ht="15">
      <c r="A465" s="239"/>
    </row>
    <row r="466" s="12" customFormat="1" ht="15">
      <c r="A466" s="239"/>
    </row>
    <row r="467" s="12" customFormat="1" ht="15">
      <c r="A467" s="239"/>
    </row>
    <row r="468" s="12" customFormat="1" ht="15">
      <c r="A468" s="239"/>
    </row>
    <row r="469" s="12" customFormat="1" ht="15">
      <c r="A469" s="239"/>
    </row>
    <row r="470" s="12" customFormat="1" ht="15">
      <c r="A470" s="239"/>
    </row>
    <row r="471" s="12" customFormat="1" ht="15">
      <c r="A471" s="239"/>
    </row>
    <row r="472" s="12" customFormat="1" ht="15">
      <c r="A472" s="239"/>
    </row>
    <row r="473" s="12" customFormat="1" ht="15">
      <c r="A473" s="239"/>
    </row>
    <row r="474" s="12" customFormat="1" ht="15">
      <c r="A474" s="239"/>
    </row>
    <row r="475" s="12" customFormat="1" ht="15">
      <c r="A475" s="239"/>
    </row>
    <row r="476" s="12" customFormat="1" ht="15">
      <c r="A476" s="239"/>
    </row>
    <row r="477" s="12" customFormat="1" ht="15">
      <c r="A477" s="239"/>
    </row>
    <row r="478" s="12" customFormat="1" ht="15">
      <c r="A478" s="239"/>
    </row>
    <row r="479" s="12" customFormat="1" ht="15">
      <c r="A479" s="239"/>
    </row>
    <row r="480" s="12" customFormat="1" ht="15">
      <c r="A480" s="239"/>
    </row>
    <row r="481" s="12" customFormat="1" ht="15">
      <c r="A481" s="239"/>
    </row>
    <row r="482" s="12" customFormat="1" ht="15">
      <c r="A482" s="239"/>
    </row>
    <row r="483" s="12" customFormat="1" ht="15">
      <c r="A483" s="239"/>
    </row>
    <row r="484" s="12" customFormat="1" ht="15">
      <c r="A484" s="239"/>
    </row>
    <row r="485" s="12" customFormat="1" ht="15">
      <c r="A485" s="239"/>
    </row>
    <row r="486" s="12" customFormat="1" ht="15">
      <c r="A486" s="239"/>
    </row>
    <row r="487" s="12" customFormat="1" ht="15">
      <c r="A487" s="239"/>
    </row>
    <row r="488" s="12" customFormat="1" ht="15">
      <c r="A488" s="239"/>
    </row>
    <row r="489" s="12" customFormat="1" ht="15">
      <c r="A489" s="239"/>
    </row>
    <row r="490" s="12" customFormat="1" ht="15">
      <c r="A490" s="239"/>
    </row>
    <row r="491" s="12" customFormat="1" ht="15">
      <c r="A491" s="239"/>
    </row>
    <row r="492" s="12" customFormat="1" ht="15">
      <c r="A492" s="239"/>
    </row>
    <row r="493" s="12" customFormat="1" ht="15">
      <c r="A493" s="239"/>
    </row>
    <row r="494" s="12" customFormat="1" ht="15">
      <c r="A494" s="239"/>
    </row>
    <row r="495" s="12" customFormat="1" ht="15">
      <c r="A495" s="239"/>
    </row>
    <row r="496" s="12" customFormat="1" ht="15">
      <c r="A496" s="239"/>
    </row>
    <row r="497" s="12" customFormat="1" ht="15">
      <c r="A497" s="239"/>
    </row>
    <row r="498" s="12" customFormat="1" ht="15">
      <c r="A498" s="239"/>
    </row>
    <row r="499" s="12" customFormat="1" ht="15">
      <c r="A499" s="239"/>
    </row>
    <row r="500" s="12" customFormat="1" ht="15">
      <c r="A500" s="239"/>
    </row>
    <row r="501" s="12" customFormat="1" ht="15">
      <c r="A501" s="239"/>
    </row>
    <row r="502" s="12" customFormat="1" ht="15">
      <c r="A502" s="239"/>
    </row>
    <row r="503" s="12" customFormat="1" ht="15">
      <c r="A503" s="239"/>
    </row>
    <row r="504" s="12" customFormat="1" ht="15">
      <c r="A504" s="239"/>
    </row>
    <row r="505" s="12" customFormat="1" ht="15">
      <c r="A505" s="239"/>
    </row>
    <row r="506" s="12" customFormat="1" ht="15">
      <c r="A506" s="239"/>
    </row>
    <row r="507" s="12" customFormat="1" ht="15">
      <c r="A507" s="239"/>
    </row>
    <row r="508" s="12" customFormat="1" ht="15">
      <c r="A508" s="239"/>
    </row>
    <row r="509" s="12" customFormat="1" ht="15">
      <c r="A509" s="239"/>
    </row>
    <row r="510" s="12" customFormat="1" ht="15">
      <c r="A510" s="239"/>
    </row>
    <row r="511" s="12" customFormat="1" ht="15">
      <c r="A511" s="239"/>
    </row>
    <row r="512" s="12" customFormat="1" ht="15">
      <c r="A512" s="239"/>
    </row>
    <row r="513" s="12" customFormat="1" ht="15">
      <c r="A513" s="239"/>
    </row>
    <row r="514" s="12" customFormat="1" ht="15">
      <c r="A514" s="239"/>
    </row>
    <row r="515" s="12" customFormat="1" ht="15">
      <c r="A515" s="239"/>
    </row>
    <row r="516" s="12" customFormat="1" ht="15">
      <c r="A516" s="239"/>
    </row>
    <row r="517" s="12" customFormat="1" ht="15">
      <c r="A517" s="239"/>
    </row>
    <row r="518" s="12" customFormat="1" ht="15">
      <c r="A518" s="239"/>
    </row>
    <row r="519" s="12" customFormat="1" ht="15">
      <c r="A519" s="239"/>
    </row>
    <row r="520" s="12" customFormat="1" ht="15">
      <c r="A520" s="239"/>
    </row>
    <row r="521" s="12" customFormat="1" ht="15">
      <c r="A521" s="239"/>
    </row>
    <row r="522" s="12" customFormat="1" ht="15">
      <c r="A522" s="239"/>
    </row>
    <row r="523" s="12" customFormat="1" ht="15">
      <c r="A523" s="239"/>
    </row>
    <row r="524" s="12" customFormat="1" ht="15">
      <c r="A524" s="239"/>
    </row>
    <row r="525" s="12" customFormat="1" ht="15">
      <c r="A525" s="239"/>
    </row>
    <row r="526" s="12" customFormat="1" ht="15">
      <c r="A526" s="239"/>
    </row>
    <row r="527" s="12" customFormat="1" ht="15">
      <c r="A527" s="239"/>
    </row>
    <row r="528" s="12" customFormat="1" ht="15">
      <c r="A528" s="239"/>
    </row>
    <row r="529" s="12" customFormat="1" ht="15">
      <c r="A529" s="239"/>
    </row>
    <row r="530" s="12" customFormat="1" ht="15">
      <c r="A530" s="239"/>
    </row>
    <row r="531" s="12" customFormat="1" ht="15">
      <c r="A531" s="239"/>
    </row>
    <row r="532" s="12" customFormat="1" ht="15">
      <c r="A532" s="239"/>
    </row>
    <row r="533" s="12" customFormat="1" ht="15">
      <c r="A533" s="239"/>
    </row>
    <row r="534" s="12" customFormat="1" ht="15">
      <c r="A534" s="239"/>
    </row>
    <row r="535" s="12" customFormat="1" ht="15">
      <c r="A535" s="239"/>
    </row>
    <row r="536" s="12" customFormat="1" ht="15">
      <c r="A536" s="239"/>
    </row>
    <row r="537" s="12" customFormat="1" ht="15">
      <c r="A537" s="239"/>
    </row>
    <row r="538" s="12" customFormat="1" ht="15">
      <c r="A538" s="239"/>
    </row>
    <row r="539" s="12" customFormat="1" ht="15">
      <c r="A539" s="239"/>
    </row>
    <row r="540" s="12" customFormat="1" ht="15">
      <c r="A540" s="239"/>
    </row>
    <row r="541" s="12" customFormat="1" ht="15">
      <c r="A541" s="239"/>
    </row>
    <row r="542" s="12" customFormat="1" ht="15">
      <c r="A542" s="239"/>
    </row>
    <row r="543" s="12" customFormat="1" ht="15">
      <c r="A543" s="239"/>
    </row>
    <row r="544" s="12" customFormat="1" ht="15">
      <c r="A544" s="239"/>
    </row>
    <row r="545" s="12" customFormat="1" ht="15">
      <c r="A545" s="239"/>
    </row>
    <row r="546" s="12" customFormat="1" ht="15">
      <c r="A546" s="239"/>
    </row>
    <row r="547" s="12" customFormat="1" ht="15">
      <c r="A547" s="239"/>
    </row>
    <row r="548" s="12" customFormat="1" ht="15">
      <c r="A548" s="239"/>
    </row>
    <row r="549" s="12" customFormat="1" ht="15">
      <c r="A549" s="239"/>
    </row>
    <row r="550" s="12" customFormat="1" ht="15">
      <c r="A550" s="239"/>
    </row>
    <row r="551" s="12" customFormat="1" ht="15">
      <c r="A551" s="239"/>
    </row>
    <row r="552" s="12" customFormat="1" ht="15">
      <c r="A552" s="239"/>
    </row>
    <row r="553" s="12" customFormat="1" ht="15">
      <c r="A553" s="239"/>
    </row>
    <row r="554" s="12" customFormat="1" ht="15">
      <c r="A554" s="239"/>
    </row>
    <row r="555" s="12" customFormat="1" ht="15">
      <c r="A555" s="239"/>
    </row>
    <row r="556" s="12" customFormat="1" ht="15">
      <c r="A556" s="239"/>
    </row>
    <row r="557" s="12" customFormat="1" ht="15">
      <c r="A557" s="239"/>
    </row>
    <row r="558" s="12" customFormat="1" ht="15">
      <c r="A558" s="239"/>
    </row>
    <row r="559" s="12" customFormat="1" ht="15">
      <c r="A559" s="239"/>
    </row>
    <row r="560" s="12" customFormat="1" ht="15">
      <c r="A560" s="239"/>
    </row>
    <row r="561" s="12" customFormat="1" ht="15">
      <c r="A561" s="239"/>
    </row>
    <row r="562" s="12" customFormat="1" ht="15">
      <c r="A562" s="239"/>
    </row>
    <row r="563" s="12" customFormat="1" ht="15">
      <c r="A563" s="239"/>
    </row>
    <row r="564" s="12" customFormat="1" ht="15">
      <c r="A564" s="239"/>
    </row>
    <row r="565" s="12" customFormat="1" ht="15">
      <c r="A565" s="239"/>
    </row>
    <row r="566" s="12" customFormat="1" ht="15">
      <c r="A566" s="239"/>
    </row>
    <row r="567" s="12" customFormat="1" ht="15">
      <c r="A567" s="239"/>
    </row>
    <row r="568" s="12" customFormat="1" ht="15">
      <c r="A568" s="239"/>
    </row>
    <row r="569" s="12" customFormat="1" ht="15">
      <c r="A569" s="239"/>
    </row>
    <row r="570" s="12" customFormat="1" ht="15">
      <c r="A570" s="239"/>
    </row>
    <row r="571" s="12" customFormat="1" ht="15">
      <c r="A571" s="239"/>
    </row>
    <row r="572" s="12" customFormat="1" ht="15">
      <c r="A572" s="239"/>
    </row>
    <row r="573" s="12" customFormat="1" ht="15">
      <c r="A573" s="239"/>
    </row>
    <row r="574" s="12" customFormat="1" ht="15">
      <c r="A574" s="239"/>
    </row>
    <row r="575" s="12" customFormat="1" ht="15">
      <c r="A575" s="239"/>
    </row>
    <row r="576" s="12" customFormat="1" ht="15">
      <c r="A576" s="239"/>
    </row>
    <row r="577" s="12" customFormat="1" ht="15">
      <c r="A577" s="239"/>
    </row>
    <row r="578" s="12" customFormat="1" ht="15">
      <c r="A578" s="239"/>
    </row>
    <row r="579" s="12" customFormat="1" ht="15">
      <c r="A579" s="239"/>
    </row>
    <row r="580" s="12" customFormat="1" ht="15">
      <c r="A580" s="239"/>
    </row>
    <row r="581" s="12" customFormat="1" ht="15">
      <c r="A581" s="239"/>
    </row>
    <row r="582" s="12" customFormat="1" ht="15">
      <c r="A582" s="239"/>
    </row>
    <row r="583" s="12" customFormat="1" ht="15">
      <c r="A583" s="239"/>
    </row>
    <row r="584" s="12" customFormat="1" ht="15">
      <c r="A584" s="239"/>
    </row>
    <row r="585" s="12" customFormat="1" ht="15">
      <c r="A585" s="239"/>
    </row>
    <row r="586" s="12" customFormat="1" ht="15">
      <c r="A586" s="239"/>
    </row>
    <row r="587" s="12" customFormat="1" ht="15">
      <c r="A587" s="239"/>
    </row>
    <row r="588" s="12" customFormat="1" ht="15">
      <c r="A588" s="239"/>
    </row>
    <row r="589" s="12" customFormat="1" ht="15">
      <c r="A589" s="239"/>
    </row>
    <row r="590" s="12" customFormat="1" ht="15">
      <c r="A590" s="239"/>
    </row>
    <row r="591" s="12" customFormat="1" ht="15">
      <c r="A591" s="239"/>
    </row>
    <row r="592" s="12" customFormat="1" ht="15">
      <c r="A592" s="239"/>
    </row>
    <row r="593" s="12" customFormat="1" ht="15">
      <c r="A593" s="239"/>
    </row>
    <row r="594" s="12" customFormat="1" ht="15">
      <c r="A594" s="239"/>
    </row>
    <row r="595" s="12" customFormat="1" ht="15">
      <c r="A595" s="239"/>
    </row>
    <row r="596" s="12" customFormat="1" ht="15">
      <c r="A596" s="239"/>
    </row>
    <row r="597" s="12" customFormat="1" ht="15">
      <c r="A597" s="239"/>
    </row>
    <row r="598" s="12" customFormat="1" ht="15">
      <c r="A598" s="239"/>
    </row>
    <row r="599" s="12" customFormat="1" ht="15">
      <c r="A599" s="239"/>
    </row>
    <row r="600" s="12" customFormat="1" ht="15">
      <c r="A600" s="239"/>
    </row>
    <row r="601" s="12" customFormat="1" ht="15">
      <c r="A601" s="239"/>
    </row>
    <row r="602" s="12" customFormat="1" ht="15">
      <c r="A602" s="239"/>
    </row>
    <row r="603" s="12" customFormat="1" ht="15">
      <c r="A603" s="239"/>
    </row>
    <row r="604" s="12" customFormat="1" ht="15">
      <c r="A604" s="239"/>
    </row>
    <row r="605" s="12" customFormat="1" ht="15">
      <c r="A605" s="239"/>
    </row>
    <row r="606" s="12" customFormat="1" ht="15">
      <c r="A606" s="239"/>
    </row>
    <row r="607" s="12" customFormat="1" ht="15">
      <c r="A607" s="239"/>
    </row>
    <row r="608" s="12" customFormat="1" ht="15">
      <c r="A608" s="239"/>
    </row>
    <row r="609" s="12" customFormat="1" ht="15">
      <c r="A609" s="239"/>
    </row>
    <row r="610" s="12" customFormat="1" ht="15">
      <c r="A610" s="239"/>
    </row>
    <row r="611" s="12" customFormat="1" ht="15">
      <c r="A611" s="239"/>
    </row>
    <row r="612" s="12" customFormat="1" ht="15">
      <c r="A612" s="239"/>
    </row>
    <row r="613" s="12" customFormat="1" ht="15">
      <c r="A613" s="239"/>
    </row>
    <row r="614" s="12" customFormat="1" ht="15">
      <c r="A614" s="239"/>
    </row>
    <row r="615" s="12" customFormat="1" ht="15">
      <c r="A615" s="239"/>
    </row>
    <row r="616" s="12" customFormat="1" ht="15">
      <c r="A616" s="239"/>
    </row>
    <row r="617" s="12" customFormat="1" ht="15">
      <c r="A617" s="239"/>
    </row>
    <row r="618" s="12" customFormat="1" ht="15">
      <c r="A618" s="239"/>
    </row>
    <row r="619" s="12" customFormat="1" ht="15">
      <c r="A619" s="239"/>
    </row>
    <row r="620" s="12" customFormat="1" ht="15">
      <c r="A620" s="239"/>
    </row>
    <row r="621" s="12" customFormat="1" ht="15">
      <c r="A621" s="239"/>
    </row>
    <row r="622" s="12" customFormat="1" ht="15">
      <c r="A622" s="239"/>
    </row>
    <row r="623" s="12" customFormat="1" ht="15">
      <c r="A623" s="239"/>
    </row>
    <row r="624" s="12" customFormat="1" ht="15">
      <c r="A624" s="239"/>
    </row>
    <row r="625" s="12" customFormat="1" ht="15">
      <c r="A625" s="239"/>
    </row>
    <row r="626" s="12" customFormat="1" ht="15">
      <c r="A626" s="239"/>
    </row>
    <row r="627" s="12" customFormat="1" ht="15">
      <c r="A627" s="239"/>
    </row>
    <row r="628" s="12" customFormat="1" ht="15">
      <c r="A628" s="239"/>
    </row>
    <row r="629" s="12" customFormat="1" ht="15">
      <c r="A629" s="239"/>
    </row>
    <row r="630" s="12" customFormat="1" ht="15">
      <c r="A630" s="239"/>
    </row>
    <row r="631" s="12" customFormat="1" ht="15">
      <c r="A631" s="239"/>
    </row>
    <row r="632" s="12" customFormat="1" ht="15">
      <c r="A632" s="239"/>
    </row>
    <row r="633" s="12" customFormat="1" ht="15">
      <c r="A633" s="239"/>
    </row>
    <row r="634" s="12" customFormat="1" ht="15">
      <c r="A634" s="239"/>
    </row>
    <row r="635" s="12" customFormat="1" ht="15">
      <c r="A635" s="239"/>
    </row>
    <row r="636" s="12" customFormat="1" ht="15">
      <c r="A636" s="239"/>
    </row>
    <row r="637" s="12" customFormat="1" ht="15">
      <c r="A637" s="239"/>
    </row>
    <row r="638" s="12" customFormat="1" ht="15">
      <c r="A638" s="239"/>
    </row>
    <row r="639" s="12" customFormat="1" ht="15">
      <c r="A639" s="239"/>
    </row>
    <row r="640" s="12" customFormat="1" ht="15">
      <c r="A640" s="239"/>
    </row>
    <row r="641" s="12" customFormat="1" ht="15">
      <c r="A641" s="239"/>
    </row>
    <row r="642" s="12" customFormat="1" ht="15">
      <c r="A642" s="239"/>
    </row>
    <row r="643" s="12" customFormat="1" ht="15">
      <c r="A643" s="239"/>
    </row>
    <row r="644" s="12" customFormat="1" ht="15">
      <c r="A644" s="239"/>
    </row>
    <row r="645" s="12" customFormat="1" ht="15">
      <c r="A645" s="239"/>
    </row>
    <row r="646" s="12" customFormat="1" ht="15">
      <c r="A646" s="239"/>
    </row>
    <row r="647" s="12" customFormat="1" ht="15">
      <c r="A647" s="239"/>
    </row>
    <row r="648" s="12" customFormat="1" ht="15">
      <c r="A648" s="239"/>
    </row>
    <row r="649" s="12" customFormat="1" ht="15">
      <c r="A649" s="239"/>
    </row>
    <row r="650" s="12" customFormat="1" ht="15">
      <c r="A650" s="239"/>
    </row>
    <row r="651" s="12" customFormat="1" ht="15">
      <c r="A651" s="239"/>
    </row>
    <row r="652" s="12" customFormat="1" ht="15">
      <c r="A652" s="239"/>
    </row>
    <row r="653" s="12" customFormat="1" ht="15">
      <c r="A653" s="239"/>
    </row>
    <row r="654" s="12" customFormat="1" ht="15">
      <c r="A654" s="239"/>
    </row>
    <row r="655" s="12" customFormat="1" ht="15">
      <c r="A655" s="239"/>
    </row>
    <row r="656" s="12" customFormat="1" ht="15">
      <c r="A656" s="239"/>
    </row>
    <row r="657" s="12" customFormat="1" ht="15">
      <c r="A657" s="239"/>
    </row>
    <row r="658" s="12" customFormat="1" ht="15">
      <c r="A658" s="239"/>
    </row>
    <row r="659" s="12" customFormat="1" ht="15">
      <c r="A659" s="239"/>
    </row>
    <row r="660" s="12" customFormat="1" ht="15">
      <c r="A660" s="239"/>
    </row>
    <row r="661" s="12" customFormat="1" ht="15">
      <c r="A661" s="239"/>
    </row>
    <row r="662" s="12" customFormat="1" ht="15">
      <c r="A662" s="239"/>
    </row>
    <row r="663" s="12" customFormat="1" ht="15">
      <c r="A663" s="239"/>
    </row>
    <row r="664" s="12" customFormat="1" ht="15">
      <c r="A664" s="239"/>
    </row>
    <row r="665" s="12" customFormat="1" ht="15">
      <c r="A665" s="239"/>
    </row>
    <row r="666" s="12" customFormat="1" ht="15">
      <c r="A666" s="239"/>
    </row>
    <row r="667" s="12" customFormat="1" ht="15">
      <c r="A667" s="239"/>
    </row>
    <row r="668" s="12" customFormat="1" ht="15">
      <c r="A668" s="239"/>
    </row>
    <row r="669" s="12" customFormat="1" ht="15">
      <c r="A669" s="239"/>
    </row>
    <row r="670" s="12" customFormat="1" ht="15">
      <c r="A670" s="239"/>
    </row>
    <row r="671" s="12" customFormat="1" ht="15">
      <c r="A671" s="239"/>
    </row>
    <row r="672" s="12" customFormat="1" ht="15">
      <c r="A672" s="239"/>
    </row>
    <row r="673" s="12" customFormat="1" ht="15">
      <c r="A673" s="239"/>
    </row>
    <row r="674" s="12" customFormat="1" ht="15">
      <c r="A674" s="239"/>
    </row>
    <row r="675" s="12" customFormat="1" ht="15">
      <c r="A675" s="239"/>
    </row>
    <row r="676" s="12" customFormat="1" ht="15">
      <c r="A676" s="239"/>
    </row>
    <row r="677" s="12" customFormat="1" ht="15">
      <c r="A677" s="239"/>
    </row>
    <row r="678" s="12" customFormat="1" ht="15">
      <c r="A678" s="239"/>
    </row>
    <row r="679" s="12" customFormat="1" ht="15">
      <c r="A679" s="239"/>
    </row>
    <row r="680" s="12" customFormat="1" ht="15">
      <c r="A680" s="239"/>
    </row>
    <row r="681" s="12" customFormat="1" ht="15">
      <c r="A681" s="239"/>
    </row>
    <row r="682" s="12" customFormat="1" ht="15">
      <c r="A682" s="239"/>
    </row>
    <row r="683" s="12" customFormat="1" ht="15">
      <c r="A683" s="239"/>
    </row>
    <row r="684" s="12" customFormat="1" ht="15">
      <c r="A684" s="239"/>
    </row>
    <row r="685" s="12" customFormat="1" ht="15">
      <c r="A685" s="239"/>
    </row>
    <row r="686" s="12" customFormat="1" ht="15">
      <c r="A686" s="239"/>
    </row>
    <row r="687" s="12" customFormat="1" ht="15">
      <c r="A687" s="239"/>
    </row>
    <row r="688" s="12" customFormat="1" ht="15">
      <c r="A688" s="239"/>
    </row>
    <row r="689" s="12" customFormat="1" ht="15">
      <c r="A689" s="239"/>
    </row>
    <row r="690" s="12" customFormat="1" ht="15">
      <c r="A690" s="239"/>
    </row>
    <row r="691" s="12" customFormat="1" ht="15">
      <c r="A691" s="239"/>
    </row>
    <row r="692" s="12" customFormat="1" ht="15">
      <c r="A692" s="239"/>
    </row>
    <row r="693" s="12" customFormat="1" ht="15">
      <c r="A693" s="239"/>
    </row>
    <row r="694" s="12" customFormat="1" ht="15">
      <c r="A694" s="239"/>
    </row>
    <row r="695" s="12" customFormat="1" ht="15">
      <c r="A695" s="239"/>
    </row>
    <row r="696" s="12" customFormat="1" ht="15">
      <c r="A696" s="239"/>
    </row>
    <row r="697" s="12" customFormat="1" ht="15">
      <c r="A697" s="239"/>
    </row>
    <row r="698" s="12" customFormat="1" ht="15">
      <c r="A698" s="239"/>
    </row>
    <row r="699" s="12" customFormat="1" ht="15">
      <c r="A699" s="239"/>
    </row>
    <row r="700" s="12" customFormat="1" ht="15">
      <c r="A700" s="239"/>
    </row>
    <row r="701" s="12" customFormat="1" ht="15">
      <c r="A701" s="239"/>
    </row>
    <row r="702" s="12" customFormat="1" ht="15">
      <c r="A702" s="239"/>
    </row>
    <row r="703" s="12" customFormat="1" ht="15">
      <c r="A703" s="239"/>
    </row>
    <row r="704" s="12" customFormat="1" ht="15">
      <c r="A704" s="239"/>
    </row>
    <row r="705" s="12" customFormat="1" ht="15">
      <c r="A705" s="239"/>
    </row>
    <row r="706" s="12" customFormat="1" ht="15">
      <c r="A706" s="239"/>
    </row>
    <row r="707" s="12" customFormat="1" ht="15">
      <c r="A707" s="239"/>
    </row>
    <row r="708" s="12" customFormat="1" ht="15">
      <c r="A708" s="239"/>
    </row>
    <row r="709" s="12" customFormat="1" ht="15">
      <c r="A709" s="239"/>
    </row>
    <row r="710" s="12" customFormat="1" ht="15">
      <c r="A710" s="239"/>
    </row>
    <row r="711" s="12" customFormat="1" ht="15">
      <c r="A711" s="239"/>
    </row>
    <row r="712" s="12" customFormat="1" ht="15">
      <c r="A712" s="239"/>
    </row>
    <row r="713" s="12" customFormat="1" ht="15">
      <c r="A713" s="239"/>
    </row>
    <row r="714" s="12" customFormat="1" ht="15">
      <c r="A714" s="239"/>
    </row>
    <row r="715" s="12" customFormat="1" ht="15">
      <c r="A715" s="239"/>
    </row>
    <row r="716" s="12" customFormat="1" ht="15">
      <c r="A716" s="239"/>
    </row>
    <row r="717" s="12" customFormat="1" ht="15">
      <c r="A717" s="239"/>
    </row>
    <row r="718" s="12" customFormat="1" ht="15">
      <c r="A718" s="239"/>
    </row>
    <row r="719" s="12" customFormat="1" ht="15">
      <c r="A719" s="239"/>
    </row>
    <row r="720" s="12" customFormat="1" ht="15">
      <c r="A720" s="239"/>
    </row>
    <row r="721" s="12" customFormat="1" ht="15">
      <c r="A721" s="239"/>
    </row>
    <row r="722" s="12" customFormat="1" ht="15">
      <c r="A722" s="239"/>
    </row>
    <row r="723" s="12" customFormat="1" ht="15">
      <c r="A723" s="239"/>
    </row>
    <row r="724" s="12" customFormat="1" ht="15">
      <c r="A724" s="239"/>
    </row>
    <row r="725" s="12" customFormat="1" ht="15">
      <c r="A725" s="239"/>
    </row>
    <row r="726" s="12" customFormat="1" ht="15">
      <c r="A726" s="239"/>
    </row>
    <row r="727" s="12" customFormat="1" ht="15">
      <c r="A727" s="239"/>
    </row>
    <row r="728" s="12" customFormat="1" ht="15">
      <c r="A728" s="239"/>
    </row>
    <row r="729" s="12" customFormat="1" ht="15">
      <c r="A729" s="239"/>
    </row>
    <row r="730" s="12" customFormat="1" ht="15">
      <c r="A730" s="239"/>
    </row>
    <row r="731" s="12" customFormat="1" ht="15">
      <c r="A731" s="239"/>
    </row>
    <row r="732" s="12" customFormat="1" ht="15">
      <c r="A732" s="239"/>
    </row>
    <row r="733" s="12" customFormat="1" ht="15">
      <c r="A733" s="239"/>
    </row>
    <row r="734" s="12" customFormat="1" ht="15">
      <c r="A734" s="239"/>
    </row>
    <row r="735" s="12" customFormat="1" ht="15">
      <c r="A735" s="239"/>
    </row>
    <row r="736" s="12" customFormat="1" ht="15">
      <c r="A736" s="239"/>
    </row>
    <row r="737" s="12" customFormat="1" ht="15">
      <c r="A737" s="239"/>
    </row>
    <row r="738" s="12" customFormat="1" ht="15">
      <c r="A738" s="239"/>
    </row>
    <row r="739" s="12" customFormat="1" ht="15">
      <c r="A739" s="239"/>
    </row>
    <row r="740" s="12" customFormat="1" ht="15">
      <c r="A740" s="239"/>
    </row>
    <row r="741" s="12" customFormat="1" ht="15">
      <c r="A741" s="239"/>
    </row>
    <row r="742" s="12" customFormat="1" ht="15">
      <c r="A742" s="239"/>
    </row>
    <row r="743" s="12" customFormat="1" ht="15">
      <c r="A743" s="239"/>
    </row>
    <row r="744" s="12" customFormat="1" ht="15">
      <c r="A744" s="239"/>
    </row>
    <row r="745" s="12" customFormat="1" ht="15">
      <c r="A745" s="239"/>
    </row>
    <row r="746" s="12" customFormat="1" ht="15">
      <c r="A746" s="239"/>
    </row>
    <row r="747" s="12" customFormat="1" ht="15">
      <c r="A747" s="239"/>
    </row>
    <row r="748" s="12" customFormat="1" ht="15">
      <c r="A748" s="239"/>
    </row>
    <row r="749" s="12" customFormat="1" ht="15">
      <c r="A749" s="239"/>
    </row>
    <row r="750" s="12" customFormat="1" ht="15">
      <c r="A750" s="239"/>
    </row>
    <row r="751" s="12" customFormat="1" ht="15">
      <c r="A751" s="239"/>
    </row>
    <row r="752" s="12" customFormat="1" ht="15">
      <c r="A752" s="239"/>
    </row>
    <row r="753" s="12" customFormat="1" ht="15">
      <c r="A753" s="239"/>
    </row>
    <row r="754" s="12" customFormat="1" ht="15">
      <c r="A754" s="239"/>
    </row>
    <row r="755" s="12" customFormat="1" ht="15">
      <c r="A755" s="239"/>
    </row>
    <row r="756" s="12" customFormat="1" ht="15">
      <c r="A756" s="239"/>
    </row>
    <row r="757" s="12" customFormat="1" ht="15">
      <c r="A757" s="239"/>
    </row>
    <row r="758" s="12" customFormat="1" ht="15">
      <c r="A758" s="239"/>
    </row>
    <row r="759" s="12" customFormat="1" ht="15">
      <c r="A759" s="239"/>
    </row>
    <row r="760" s="12" customFormat="1" ht="15">
      <c r="A760" s="239"/>
    </row>
    <row r="761" s="12" customFormat="1" ht="15">
      <c r="A761" s="239"/>
    </row>
    <row r="762" s="12" customFormat="1" ht="15">
      <c r="A762" s="239"/>
    </row>
    <row r="763" s="12" customFormat="1" ht="15">
      <c r="A763" s="239"/>
    </row>
    <row r="764" s="12" customFormat="1" ht="15">
      <c r="A764" s="239"/>
    </row>
    <row r="765" s="12" customFormat="1" ht="15">
      <c r="A765" s="239"/>
    </row>
    <row r="766" s="12" customFormat="1" ht="15">
      <c r="A766" s="239"/>
    </row>
    <row r="767" s="12" customFormat="1" ht="15">
      <c r="A767" s="239"/>
    </row>
    <row r="768" s="12" customFormat="1" ht="15">
      <c r="A768" s="239"/>
    </row>
    <row r="769" s="12" customFormat="1" ht="15">
      <c r="A769" s="239"/>
    </row>
    <row r="770" s="12" customFormat="1" ht="15">
      <c r="A770" s="239"/>
    </row>
    <row r="771" s="12" customFormat="1" ht="15">
      <c r="A771" s="239"/>
    </row>
    <row r="772" s="12" customFormat="1" ht="15">
      <c r="A772" s="239"/>
    </row>
    <row r="773" s="12" customFormat="1" ht="15">
      <c r="A773" s="239"/>
    </row>
    <row r="774" s="12" customFormat="1" ht="15">
      <c r="A774" s="239"/>
    </row>
    <row r="775" s="12" customFormat="1" ht="15">
      <c r="A775" s="239"/>
    </row>
    <row r="776" s="12" customFormat="1" ht="15">
      <c r="A776" s="239"/>
    </row>
    <row r="777" s="12" customFormat="1" ht="15">
      <c r="A777" s="239"/>
    </row>
    <row r="778" s="12" customFormat="1" ht="15">
      <c r="A778" s="239"/>
    </row>
    <row r="779" s="12" customFormat="1" ht="15">
      <c r="A779" s="239"/>
    </row>
    <row r="780" s="12" customFormat="1" ht="15">
      <c r="A780" s="239"/>
    </row>
    <row r="781" s="12" customFormat="1" ht="15">
      <c r="A781" s="239"/>
    </row>
    <row r="782" s="12" customFormat="1" ht="15">
      <c r="A782" s="239"/>
    </row>
    <row r="783" s="12" customFormat="1" ht="15">
      <c r="A783" s="239"/>
    </row>
    <row r="784" s="12" customFormat="1" ht="15">
      <c r="A784" s="239"/>
    </row>
    <row r="785" s="12" customFormat="1" ht="15">
      <c r="A785" s="239"/>
    </row>
    <row r="786" s="12" customFormat="1" ht="15">
      <c r="A786" s="239"/>
    </row>
    <row r="787" s="12" customFormat="1" ht="15">
      <c r="A787" s="239"/>
    </row>
    <row r="788" s="12" customFormat="1" ht="15">
      <c r="A788" s="239"/>
    </row>
    <row r="789" s="12" customFormat="1" ht="15">
      <c r="A789" s="239"/>
    </row>
    <row r="790" s="12" customFormat="1" ht="15">
      <c r="A790" s="239"/>
    </row>
    <row r="791" s="12" customFormat="1" ht="15">
      <c r="A791" s="239"/>
    </row>
    <row r="792" s="12" customFormat="1" ht="15">
      <c r="A792" s="239"/>
    </row>
    <row r="793" s="12" customFormat="1" ht="15">
      <c r="A793" s="239"/>
    </row>
    <row r="794" s="12" customFormat="1" ht="15">
      <c r="A794" s="239"/>
    </row>
    <row r="795" s="12" customFormat="1" ht="15">
      <c r="A795" s="239"/>
    </row>
    <row r="796" s="12" customFormat="1" ht="15">
      <c r="A796" s="239"/>
    </row>
    <row r="797" s="12" customFormat="1" ht="15">
      <c r="A797" s="239"/>
    </row>
    <row r="798" s="12" customFormat="1" ht="15">
      <c r="A798" s="239"/>
    </row>
    <row r="799" s="12" customFormat="1" ht="15">
      <c r="A799" s="239"/>
    </row>
    <row r="800" s="12" customFormat="1" ht="15">
      <c r="A800" s="239"/>
    </row>
    <row r="801" s="12" customFormat="1" ht="15">
      <c r="A801" s="239"/>
    </row>
    <row r="802" s="12" customFormat="1" ht="15">
      <c r="A802" s="239"/>
    </row>
    <row r="803" s="12" customFormat="1" ht="15">
      <c r="A803" s="239"/>
    </row>
    <row r="804" s="12" customFormat="1" ht="15">
      <c r="A804" s="239"/>
    </row>
    <row r="805" s="12" customFormat="1" ht="15">
      <c r="A805" s="239"/>
    </row>
    <row r="806" s="12" customFormat="1" ht="15">
      <c r="A806" s="239"/>
    </row>
    <row r="807" s="12" customFormat="1" ht="15">
      <c r="A807" s="239"/>
    </row>
    <row r="808" s="12" customFormat="1" ht="15">
      <c r="A808" s="239"/>
    </row>
    <row r="809" s="12" customFormat="1" ht="15">
      <c r="A809" s="239"/>
    </row>
    <row r="810" s="12" customFormat="1" ht="15">
      <c r="A810" s="239"/>
    </row>
    <row r="811" s="12" customFormat="1" ht="15">
      <c r="A811" s="239"/>
    </row>
    <row r="812" s="12" customFormat="1" ht="15">
      <c r="A812" s="239"/>
    </row>
    <row r="813" s="12" customFormat="1" ht="15">
      <c r="A813" s="239"/>
    </row>
    <row r="814" s="12" customFormat="1" ht="15">
      <c r="A814" s="239"/>
    </row>
    <row r="815" s="12" customFormat="1" ht="15">
      <c r="A815" s="239"/>
    </row>
    <row r="816" s="12" customFormat="1" ht="15">
      <c r="A816" s="239"/>
    </row>
    <row r="817" s="12" customFormat="1" ht="15">
      <c r="A817" s="239"/>
    </row>
    <row r="818" s="12" customFormat="1" ht="15">
      <c r="A818" s="239"/>
    </row>
    <row r="819" s="12" customFormat="1" ht="15">
      <c r="A819" s="239"/>
    </row>
    <row r="820" s="12" customFormat="1" ht="15">
      <c r="A820" s="239"/>
    </row>
    <row r="821" s="12" customFormat="1" ht="15">
      <c r="A821" s="239"/>
    </row>
    <row r="822" s="12" customFormat="1" ht="15">
      <c r="A822" s="239"/>
    </row>
    <row r="823" s="12" customFormat="1" ht="15">
      <c r="A823" s="239"/>
    </row>
    <row r="824" s="12" customFormat="1" ht="15">
      <c r="A824" s="239"/>
    </row>
    <row r="825" s="12" customFormat="1" ht="15">
      <c r="A825" s="239"/>
    </row>
    <row r="826" s="12" customFormat="1" ht="15">
      <c r="A826" s="239"/>
    </row>
    <row r="827" s="12" customFormat="1" ht="15">
      <c r="A827" s="239"/>
    </row>
    <row r="828" s="12" customFormat="1" ht="15">
      <c r="A828" s="239"/>
    </row>
    <row r="829" s="12" customFormat="1" ht="15">
      <c r="A829" s="239"/>
    </row>
    <row r="830" s="12" customFormat="1" ht="15">
      <c r="A830" s="239"/>
    </row>
    <row r="831" s="12" customFormat="1" ht="15">
      <c r="A831" s="239"/>
    </row>
    <row r="832" s="12" customFormat="1" ht="15">
      <c r="A832" s="239"/>
    </row>
    <row r="833" s="12" customFormat="1" ht="15">
      <c r="A833" s="239"/>
    </row>
    <row r="834" s="12" customFormat="1" ht="15">
      <c r="A834" s="239"/>
    </row>
    <row r="835" s="12" customFormat="1" ht="15">
      <c r="A835" s="239"/>
    </row>
    <row r="836" s="12" customFormat="1" ht="15">
      <c r="A836" s="239"/>
    </row>
    <row r="837" s="12" customFormat="1" ht="15">
      <c r="A837" s="239"/>
    </row>
    <row r="838" s="12" customFormat="1" ht="15">
      <c r="A838" s="239"/>
    </row>
    <row r="839" s="12" customFormat="1" ht="15">
      <c r="A839" s="239"/>
    </row>
    <row r="840" s="12" customFormat="1" ht="15">
      <c r="A840" s="239"/>
    </row>
    <row r="841" s="12" customFormat="1" ht="15">
      <c r="A841" s="239"/>
    </row>
    <row r="842" s="12" customFormat="1" ht="15">
      <c r="A842" s="239"/>
    </row>
    <row r="843" s="12" customFormat="1" ht="15">
      <c r="A843" s="239"/>
    </row>
    <row r="844" s="12" customFormat="1" ht="15">
      <c r="A844" s="239"/>
    </row>
    <row r="845" s="12" customFormat="1" ht="15">
      <c r="A845" s="239"/>
    </row>
    <row r="846" s="12" customFormat="1" ht="15">
      <c r="A846" s="239"/>
    </row>
    <row r="847" s="12" customFormat="1" ht="15">
      <c r="A847" s="239"/>
    </row>
    <row r="848" s="12" customFormat="1" ht="15">
      <c r="A848" s="239"/>
    </row>
    <row r="849" s="12" customFormat="1" ht="15">
      <c r="A849" s="239"/>
    </row>
    <row r="850" s="12" customFormat="1" ht="15">
      <c r="A850" s="239"/>
    </row>
    <row r="851" s="12" customFormat="1" ht="15">
      <c r="A851" s="239"/>
    </row>
    <row r="852" s="12" customFormat="1" ht="15">
      <c r="A852" s="239"/>
    </row>
    <row r="853" s="12" customFormat="1" ht="15">
      <c r="A853" s="239"/>
    </row>
    <row r="854" s="12" customFormat="1" ht="15">
      <c r="A854" s="239"/>
    </row>
    <row r="855" s="12" customFormat="1" ht="15">
      <c r="A855" s="239"/>
    </row>
    <row r="856" s="12" customFormat="1" ht="15">
      <c r="A856" s="239"/>
    </row>
    <row r="857" s="12" customFormat="1" ht="15">
      <c r="A857" s="239"/>
    </row>
    <row r="858" s="12" customFormat="1" ht="15">
      <c r="A858" s="239"/>
    </row>
    <row r="859" s="12" customFormat="1" ht="15">
      <c r="A859" s="239"/>
    </row>
    <row r="860" s="12" customFormat="1" ht="15">
      <c r="A860" s="239"/>
    </row>
    <row r="861" s="12" customFormat="1" ht="15">
      <c r="A861" s="239"/>
    </row>
    <row r="862" s="12" customFormat="1" ht="15">
      <c r="A862" s="239"/>
    </row>
    <row r="863" s="12" customFormat="1" ht="15">
      <c r="A863" s="239"/>
    </row>
    <row r="864" s="12" customFormat="1" ht="15">
      <c r="A864" s="239"/>
    </row>
    <row r="865" s="12" customFormat="1" ht="15">
      <c r="A865" s="239"/>
    </row>
    <row r="866" s="12" customFormat="1" ht="15">
      <c r="A866" s="239"/>
    </row>
    <row r="867" s="12" customFormat="1" ht="15">
      <c r="A867" s="239"/>
    </row>
    <row r="868" s="12" customFormat="1" ht="15">
      <c r="A868" s="239"/>
    </row>
    <row r="869" s="12" customFormat="1" ht="15">
      <c r="A869" s="239"/>
    </row>
    <row r="870" s="12" customFormat="1" ht="15">
      <c r="A870" s="239"/>
    </row>
    <row r="871" s="12" customFormat="1" ht="15">
      <c r="A871" s="239"/>
    </row>
    <row r="872" s="12" customFormat="1" ht="15">
      <c r="A872" s="239"/>
    </row>
    <row r="873" s="12" customFormat="1" ht="15">
      <c r="A873" s="239"/>
    </row>
    <row r="874" s="12" customFormat="1" ht="15">
      <c r="A874" s="239"/>
    </row>
    <row r="875" s="12" customFormat="1" ht="15">
      <c r="A875" s="239"/>
    </row>
    <row r="876" s="12" customFormat="1" ht="15">
      <c r="A876" s="239"/>
    </row>
    <row r="877" s="12" customFormat="1" ht="15">
      <c r="A877" s="239"/>
    </row>
    <row r="878" s="12" customFormat="1" ht="15">
      <c r="A878" s="239"/>
    </row>
    <row r="879" s="12" customFormat="1" ht="15">
      <c r="A879" s="239"/>
    </row>
    <row r="880" s="12" customFormat="1" ht="15">
      <c r="A880" s="239"/>
    </row>
    <row r="881" s="12" customFormat="1" ht="15">
      <c r="A881" s="239"/>
    </row>
    <row r="882" s="12" customFormat="1" ht="15">
      <c r="A882" s="239"/>
    </row>
    <row r="883" s="12" customFormat="1" ht="15">
      <c r="A883" s="239"/>
    </row>
    <row r="884" s="12" customFormat="1" ht="15">
      <c r="A884" s="239"/>
    </row>
    <row r="885" s="12" customFormat="1" ht="15">
      <c r="A885" s="239"/>
    </row>
    <row r="886" s="12" customFormat="1" ht="15">
      <c r="A886" s="239"/>
    </row>
    <row r="887" s="12" customFormat="1" ht="15">
      <c r="A887" s="239"/>
    </row>
    <row r="888" s="12" customFormat="1" ht="15">
      <c r="A888" s="239"/>
    </row>
    <row r="889" s="12" customFormat="1" ht="15">
      <c r="A889" s="239"/>
    </row>
    <row r="890" s="12" customFormat="1" ht="15">
      <c r="A890" s="239"/>
    </row>
    <row r="891" s="12" customFormat="1" ht="15">
      <c r="A891" s="239"/>
    </row>
    <row r="892" s="12" customFormat="1" ht="15">
      <c r="A892" s="239"/>
    </row>
    <row r="893" s="12" customFormat="1" ht="15">
      <c r="A893" s="239"/>
    </row>
    <row r="894" s="12" customFormat="1" ht="15">
      <c r="A894" s="239"/>
    </row>
    <row r="895" s="12" customFormat="1" ht="15">
      <c r="A895" s="239"/>
    </row>
    <row r="896" s="12" customFormat="1" ht="15">
      <c r="A896" s="239"/>
    </row>
    <row r="897" s="12" customFormat="1" ht="15">
      <c r="A897" s="239"/>
    </row>
    <row r="898" s="12" customFormat="1" ht="15">
      <c r="A898" s="239"/>
    </row>
    <row r="899" s="12" customFormat="1" ht="15">
      <c r="A899" s="239"/>
    </row>
    <row r="900" s="12" customFormat="1" ht="15">
      <c r="A900" s="239"/>
    </row>
    <row r="901" s="12" customFormat="1" ht="15">
      <c r="A901" s="239"/>
    </row>
    <row r="902" s="12" customFormat="1" ht="15">
      <c r="A902" s="239"/>
    </row>
    <row r="903" s="12" customFormat="1" ht="15">
      <c r="A903" s="239"/>
    </row>
    <row r="904" s="12" customFormat="1" ht="15">
      <c r="A904" s="239"/>
    </row>
    <row r="905" s="12" customFormat="1" ht="15">
      <c r="A905" s="239"/>
    </row>
    <row r="906" s="12" customFormat="1" ht="15">
      <c r="A906" s="239"/>
    </row>
    <row r="907" s="12" customFormat="1" ht="15">
      <c r="A907" s="239"/>
    </row>
    <row r="908" s="12" customFormat="1" ht="15">
      <c r="A908" s="239"/>
    </row>
    <row r="909" s="12" customFormat="1" ht="15">
      <c r="A909" s="239"/>
    </row>
    <row r="910" s="12" customFormat="1" ht="15">
      <c r="A910" s="239"/>
    </row>
    <row r="911" s="12" customFormat="1" ht="15">
      <c r="A911" s="239"/>
    </row>
    <row r="912" s="12" customFormat="1" ht="15">
      <c r="A912" s="239"/>
    </row>
    <row r="913" s="12" customFormat="1" ht="15">
      <c r="A913" s="239"/>
    </row>
    <row r="914" s="12" customFormat="1" ht="15">
      <c r="A914" s="239"/>
    </row>
    <row r="915" s="12" customFormat="1" ht="15">
      <c r="A915" s="239"/>
    </row>
    <row r="916" s="12" customFormat="1" ht="15">
      <c r="A916" s="239"/>
    </row>
    <row r="917" s="12" customFormat="1" ht="15">
      <c r="A917" s="239"/>
    </row>
    <row r="918" s="12" customFormat="1" ht="15">
      <c r="A918" s="239"/>
    </row>
    <row r="919" s="12" customFormat="1" ht="15">
      <c r="A919" s="239"/>
    </row>
    <row r="920" s="12" customFormat="1" ht="15">
      <c r="A920" s="239"/>
    </row>
    <row r="921" s="12" customFormat="1" ht="15">
      <c r="A921" s="239"/>
    </row>
    <row r="922" s="12" customFormat="1" ht="15">
      <c r="A922" s="239"/>
    </row>
    <row r="923" s="12" customFormat="1" ht="15">
      <c r="A923" s="239"/>
    </row>
    <row r="924" s="12" customFormat="1" ht="15">
      <c r="A924" s="239"/>
    </row>
    <row r="925" s="12" customFormat="1" ht="15">
      <c r="A925" s="239"/>
    </row>
    <row r="926" s="12" customFormat="1" ht="15">
      <c r="A926" s="239"/>
    </row>
    <row r="927" s="12" customFormat="1" ht="15">
      <c r="A927" s="239"/>
    </row>
    <row r="928" s="12" customFormat="1" ht="15">
      <c r="A928" s="239"/>
    </row>
    <row r="929" s="12" customFormat="1" ht="15">
      <c r="A929" s="239"/>
    </row>
    <row r="930" s="12" customFormat="1" ht="15">
      <c r="A930" s="239"/>
    </row>
    <row r="931" s="12" customFormat="1" ht="15">
      <c r="A931" s="239"/>
    </row>
    <row r="932" s="12" customFormat="1" ht="15">
      <c r="A932" s="239"/>
    </row>
    <row r="933" s="12" customFormat="1" ht="15">
      <c r="A933" s="239"/>
    </row>
    <row r="934" s="12" customFormat="1" ht="15">
      <c r="A934" s="239"/>
    </row>
    <row r="935" s="12" customFormat="1" ht="15">
      <c r="A935" s="239"/>
    </row>
    <row r="936" s="12" customFormat="1" ht="15">
      <c r="A936" s="239"/>
    </row>
    <row r="937" s="12" customFormat="1" ht="15">
      <c r="A937" s="239"/>
    </row>
    <row r="938" s="12" customFormat="1" ht="15">
      <c r="A938" s="239"/>
    </row>
    <row r="939" s="12" customFormat="1" ht="15">
      <c r="A939" s="239"/>
    </row>
    <row r="940" s="12" customFormat="1" ht="15">
      <c r="A940" s="239"/>
    </row>
    <row r="941" s="12" customFormat="1" ht="15">
      <c r="A941" s="239"/>
    </row>
    <row r="942" s="12" customFormat="1" ht="15">
      <c r="A942" s="239"/>
    </row>
    <row r="943" s="12" customFormat="1" ht="15">
      <c r="A943" s="239"/>
    </row>
    <row r="944" s="12" customFormat="1" ht="15">
      <c r="A944" s="239"/>
    </row>
    <row r="945" s="12" customFormat="1" ht="15">
      <c r="A945" s="239"/>
    </row>
    <row r="946" s="12" customFormat="1" ht="15">
      <c r="A946" s="239"/>
    </row>
    <row r="947" s="12" customFormat="1" ht="15">
      <c r="A947" s="239"/>
    </row>
    <row r="948" s="12" customFormat="1" ht="15">
      <c r="A948" s="239"/>
    </row>
    <row r="949" s="12" customFormat="1" ht="15">
      <c r="A949" s="239"/>
    </row>
    <row r="950" s="12" customFormat="1" ht="15">
      <c r="A950" s="239"/>
    </row>
    <row r="951" s="12" customFormat="1" ht="15">
      <c r="A951" s="239"/>
    </row>
    <row r="952" s="12" customFormat="1" ht="15">
      <c r="A952" s="239"/>
    </row>
    <row r="953" s="12" customFormat="1" ht="15">
      <c r="A953" s="239"/>
    </row>
    <row r="954" s="12" customFormat="1" ht="15">
      <c r="A954" s="239"/>
    </row>
    <row r="955" s="12" customFormat="1" ht="15">
      <c r="A955" s="239"/>
    </row>
    <row r="956" s="12" customFormat="1" ht="15">
      <c r="A956" s="239"/>
    </row>
    <row r="957" s="12" customFormat="1" ht="15">
      <c r="A957" s="239"/>
    </row>
    <row r="958" s="12" customFormat="1" ht="15">
      <c r="A958" s="239"/>
    </row>
    <row r="959" s="12" customFormat="1" ht="15">
      <c r="A959" s="239"/>
    </row>
    <row r="960" s="12" customFormat="1" ht="15">
      <c r="A960" s="239"/>
    </row>
    <row r="961" s="12" customFormat="1" ht="15">
      <c r="A961" s="239"/>
    </row>
    <row r="962" s="12" customFormat="1" ht="15">
      <c r="A962" s="239"/>
    </row>
    <row r="963" s="12" customFormat="1" ht="15">
      <c r="A963" s="239"/>
    </row>
    <row r="964" s="12" customFormat="1" ht="15">
      <c r="A964" s="239"/>
    </row>
    <row r="965" s="12" customFormat="1" ht="15">
      <c r="A965" s="239"/>
    </row>
    <row r="966" s="12" customFormat="1" ht="15">
      <c r="A966" s="239"/>
    </row>
    <row r="967" s="12" customFormat="1" ht="15">
      <c r="A967" s="239"/>
    </row>
    <row r="968" s="12" customFormat="1" ht="15">
      <c r="A968" s="239"/>
    </row>
    <row r="969" s="12" customFormat="1" ht="15">
      <c r="A969" s="239"/>
    </row>
    <row r="970" s="12" customFormat="1" ht="15">
      <c r="A970" s="239"/>
    </row>
    <row r="971" s="12" customFormat="1" ht="15">
      <c r="A971" s="239"/>
    </row>
    <row r="972" s="12" customFormat="1" ht="15">
      <c r="A972" s="239"/>
    </row>
    <row r="973" s="12" customFormat="1" ht="15">
      <c r="A973" s="239"/>
    </row>
    <row r="974" s="12" customFormat="1" ht="15">
      <c r="A974" s="239"/>
    </row>
    <row r="975" s="12" customFormat="1" ht="15">
      <c r="A975" s="239"/>
    </row>
    <row r="976" s="12" customFormat="1" ht="15">
      <c r="A976" s="239"/>
    </row>
    <row r="977" s="12" customFormat="1" ht="15">
      <c r="A977" s="239"/>
    </row>
    <row r="978" s="12" customFormat="1" ht="15">
      <c r="A978" s="239"/>
    </row>
    <row r="979" s="12" customFormat="1" ht="15">
      <c r="A979" s="239"/>
    </row>
    <row r="980" s="12" customFormat="1" ht="15">
      <c r="A980" s="239"/>
    </row>
    <row r="981" s="12" customFormat="1" ht="15">
      <c r="A981" s="239"/>
    </row>
    <row r="982" s="12" customFormat="1" ht="15">
      <c r="A982" s="239"/>
    </row>
    <row r="983" s="12" customFormat="1" ht="15">
      <c r="A983" s="239"/>
    </row>
    <row r="984" s="12" customFormat="1" ht="15">
      <c r="A984" s="239"/>
    </row>
    <row r="985" s="12" customFormat="1" ht="15">
      <c r="A985" s="239"/>
    </row>
    <row r="986" s="12" customFormat="1" ht="15">
      <c r="A986" s="239"/>
    </row>
    <row r="987" s="12" customFormat="1" ht="15">
      <c r="A987" s="239"/>
    </row>
    <row r="988" s="12" customFormat="1" ht="15">
      <c r="A988" s="239"/>
    </row>
    <row r="989" s="12" customFormat="1" ht="15">
      <c r="A989" s="239"/>
    </row>
    <row r="990" s="12" customFormat="1" ht="15">
      <c r="A990" s="239"/>
    </row>
    <row r="991" s="12" customFormat="1" ht="15">
      <c r="A991" s="239"/>
    </row>
    <row r="992" s="12" customFormat="1" ht="15">
      <c r="A992" s="239"/>
    </row>
    <row r="993" s="12" customFormat="1" ht="15">
      <c r="A993" s="239"/>
    </row>
    <row r="994" s="12" customFormat="1" ht="15">
      <c r="A994" s="239"/>
    </row>
    <row r="995" s="12" customFormat="1" ht="15">
      <c r="A995" s="239"/>
    </row>
    <row r="996" s="12" customFormat="1" ht="15">
      <c r="A996" s="239"/>
    </row>
    <row r="997" s="12" customFormat="1" ht="15">
      <c r="A997" s="239"/>
    </row>
    <row r="998" s="12" customFormat="1" ht="15">
      <c r="A998" s="239"/>
    </row>
    <row r="999" s="12" customFormat="1" ht="15">
      <c r="A999" s="239"/>
    </row>
    <row r="1000" s="12" customFormat="1" ht="15">
      <c r="A1000" s="239"/>
    </row>
    <row r="1001" s="12" customFormat="1" ht="15">
      <c r="A1001" s="239"/>
    </row>
    <row r="1002" s="12" customFormat="1" ht="15">
      <c r="A1002" s="239"/>
    </row>
    <row r="1003" s="12" customFormat="1" ht="15">
      <c r="A1003" s="239"/>
    </row>
    <row r="1004" s="12" customFormat="1" ht="15">
      <c r="A1004" s="239"/>
    </row>
    <row r="1005" s="12" customFormat="1" ht="15">
      <c r="A1005" s="239"/>
    </row>
    <row r="1006" s="12" customFormat="1" ht="15">
      <c r="A1006" s="239"/>
    </row>
    <row r="1007" s="12" customFormat="1" ht="15">
      <c r="A1007" s="239"/>
    </row>
    <row r="1008" s="12" customFormat="1" ht="15">
      <c r="A1008" s="239"/>
    </row>
    <row r="1009" s="12" customFormat="1" ht="15">
      <c r="A1009" s="239"/>
    </row>
    <row r="1010" s="12" customFormat="1" ht="15">
      <c r="A1010" s="239"/>
    </row>
    <row r="1011" s="12" customFormat="1" ht="15">
      <c r="A1011" s="239"/>
    </row>
    <row r="1012" s="12" customFormat="1" ht="15">
      <c r="A1012" s="239"/>
    </row>
    <row r="1013" s="12" customFormat="1" ht="15">
      <c r="A1013" s="239"/>
    </row>
    <row r="1014" s="12" customFormat="1" ht="15">
      <c r="A1014" s="239"/>
    </row>
    <row r="1015" s="12" customFormat="1" ht="15">
      <c r="A1015" s="239"/>
    </row>
    <row r="1016" s="12" customFormat="1" ht="15">
      <c r="A1016" s="239"/>
    </row>
    <row r="1017" s="12" customFormat="1" ht="15">
      <c r="A1017" s="239"/>
    </row>
    <row r="1018" s="12" customFormat="1" ht="15">
      <c r="A1018" s="239"/>
    </row>
    <row r="1019" s="12" customFormat="1" ht="15">
      <c r="A1019" s="239"/>
    </row>
    <row r="1020" s="12" customFormat="1" ht="15">
      <c r="A1020" s="239"/>
    </row>
    <row r="1021" s="12" customFormat="1" ht="15">
      <c r="A1021" s="239"/>
    </row>
    <row r="1022" s="12" customFormat="1" ht="15">
      <c r="A1022" s="239"/>
    </row>
    <row r="1023" s="12" customFormat="1" ht="15">
      <c r="A1023" s="239"/>
    </row>
    <row r="1024" s="12" customFormat="1" ht="15">
      <c r="A1024" s="239"/>
    </row>
    <row r="1025" s="12" customFormat="1" ht="15">
      <c r="A1025" s="239"/>
    </row>
    <row r="1026" s="12" customFormat="1" ht="15">
      <c r="A1026" s="239"/>
    </row>
    <row r="1027" s="12" customFormat="1" ht="15">
      <c r="A1027" s="239"/>
    </row>
    <row r="1028" s="12" customFormat="1" ht="15">
      <c r="A1028" s="239"/>
    </row>
    <row r="1029" s="12" customFormat="1" ht="15">
      <c r="A1029" s="239"/>
    </row>
    <row r="1030" s="12" customFormat="1" ht="15">
      <c r="A1030" s="239"/>
    </row>
    <row r="1031" s="12" customFormat="1" ht="15">
      <c r="A1031" s="239"/>
    </row>
    <row r="1032" s="12" customFormat="1" ht="15">
      <c r="A1032" s="239"/>
    </row>
    <row r="1033" s="12" customFormat="1" ht="15">
      <c r="A1033" s="239"/>
    </row>
    <row r="1034" s="12" customFormat="1" ht="15">
      <c r="A1034" s="239"/>
    </row>
    <row r="1035" s="12" customFormat="1" ht="15">
      <c r="A1035" s="239"/>
    </row>
    <row r="1036" s="12" customFormat="1" ht="15">
      <c r="A1036" s="239"/>
    </row>
    <row r="1037" s="12" customFormat="1" ht="15">
      <c r="A1037" s="239"/>
    </row>
    <row r="1038" s="12" customFormat="1" ht="15">
      <c r="A1038" s="239"/>
    </row>
    <row r="1039" s="12" customFormat="1" ht="15">
      <c r="A1039" s="239"/>
    </row>
    <row r="1040" s="12" customFormat="1" ht="15">
      <c r="A1040" s="239"/>
    </row>
    <row r="1041" s="12" customFormat="1" ht="15">
      <c r="A1041" s="239"/>
    </row>
    <row r="1042" s="12" customFormat="1" ht="15">
      <c r="A1042" s="239"/>
    </row>
    <row r="1043" s="12" customFormat="1" ht="15">
      <c r="A1043" s="239"/>
    </row>
    <row r="1044" s="12" customFormat="1" ht="15">
      <c r="A1044" s="239"/>
    </row>
    <row r="1045" s="12" customFormat="1" ht="15">
      <c r="A1045" s="239"/>
    </row>
    <row r="1046" s="12" customFormat="1" ht="15">
      <c r="A1046" s="239"/>
    </row>
  </sheetData>
  <sheetProtection/>
  <mergeCells count="11">
    <mergeCell ref="S13:U13"/>
    <mergeCell ref="Y13:AA13"/>
    <mergeCell ref="B15:AC17"/>
    <mergeCell ref="M13:P13"/>
    <mergeCell ref="G13:J13"/>
    <mergeCell ref="B1:E1"/>
    <mergeCell ref="G1:K1"/>
    <mergeCell ref="M1:Q1"/>
    <mergeCell ref="S1:W1"/>
    <mergeCell ref="Y1:AC1"/>
    <mergeCell ref="B13:D1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J17"/>
  <sheetViews>
    <sheetView zoomScalePageLayoutView="0" workbookViewId="0" topLeftCell="A1">
      <selection activeCell="H7" sqref="D7:H7"/>
    </sheetView>
  </sheetViews>
  <sheetFormatPr defaultColWidth="11.421875" defaultRowHeight="15"/>
  <cols>
    <col min="1" max="1" width="1.1484375" style="0" customWidth="1"/>
    <col min="4" max="4" width="17.00390625" style="0" customWidth="1"/>
    <col min="5" max="5" width="17.7109375" style="0" customWidth="1"/>
    <col min="6" max="7" width="17.421875" style="0" customWidth="1"/>
    <col min="8" max="8" width="18.57421875" style="0" customWidth="1"/>
    <col min="9" max="109" width="11.421875" style="12" customWidth="1"/>
  </cols>
  <sheetData>
    <row r="1" spans="1:10" ht="9" customHeight="1" thickBot="1">
      <c r="A1" s="64"/>
      <c r="B1" s="64"/>
      <c r="C1" s="64"/>
      <c r="D1" s="64"/>
      <c r="E1" s="64"/>
      <c r="F1" s="64"/>
      <c r="G1" s="64"/>
      <c r="H1" s="64"/>
      <c r="I1" s="64"/>
      <c r="J1" s="64"/>
    </row>
    <row r="2" spans="1:8" ht="15.75" thickBot="1">
      <c r="A2" s="64"/>
      <c r="B2" s="620" t="s">
        <v>52</v>
      </c>
      <c r="C2" s="621"/>
      <c r="D2" s="621"/>
      <c r="E2" s="621"/>
      <c r="F2" s="621"/>
      <c r="G2" s="621"/>
      <c r="H2" s="622"/>
    </row>
    <row r="3" spans="1:8" ht="15">
      <c r="A3" s="64"/>
      <c r="B3" s="623" t="s">
        <v>53</v>
      </c>
      <c r="C3" s="623"/>
      <c r="D3" s="319" t="s">
        <v>21</v>
      </c>
      <c r="E3" s="319" t="s">
        <v>28</v>
      </c>
      <c r="F3" s="319" t="s">
        <v>30</v>
      </c>
      <c r="G3" s="319" t="s">
        <v>32</v>
      </c>
      <c r="H3" s="319" t="s">
        <v>34</v>
      </c>
    </row>
    <row r="4" spans="1:8" ht="15">
      <c r="A4" s="64"/>
      <c r="B4" s="624" t="s">
        <v>54</v>
      </c>
      <c r="C4" s="624"/>
      <c r="D4" s="320">
        <f>+DATOS!F74</f>
        <v>204800459.11775994</v>
      </c>
      <c r="E4" s="320">
        <f>+D4*DATOS!F91+'PRESUPESTOS MOD'!D4</f>
        <v>213524958.67617652</v>
      </c>
      <c r="F4" s="320">
        <f>+E4*DATOS!F92+D4</f>
        <v>213896622.35736507</v>
      </c>
      <c r="G4" s="320">
        <f>'PRESUPESTOS MOD'!F4*DATOS!F91+'PRESUPESTOS MOD'!F4</f>
        <v>223008618.46978882</v>
      </c>
      <c r="H4" s="320">
        <f>+G4*DATOS!F94+G4</f>
        <v>232508785.61660182</v>
      </c>
    </row>
    <row r="5" spans="1:8" ht="15">
      <c r="A5" s="64"/>
      <c r="B5" s="626" t="s">
        <v>55</v>
      </c>
      <c r="C5" s="627"/>
      <c r="D5" s="320">
        <f>DATOS!F78*'PRESUPUESTOS DE VENTA  '!P3+(DATOS!F79*'PRESUPUESTOS DE VENTA  '!P4)+('PRESUPUESTOS DE VENTA  '!R5*DATOS!F80)+(DATOS!F81*'PRESUPUESTOS DE VENTA  '!P6)+('PRESUPUESTOS DE VENTA  '!P7*DATOS!F82)+(DATOS!F83*'PRESUPUESTOS DE VENTA  '!P8)+(DATOS!F84*'PRESUPUESTOS DE VENTA  '!P9)+(DATOS!F85*'PRESUPUESTOS DE VENTA  '!P10)+(DATOS!F86*'PRESUPUESTOS DE VENTA  '!P11)+(DATOS!F87*'PRESUPUESTOS DE VENTA  '!P12)</f>
        <v>0</v>
      </c>
      <c r="E5" s="320">
        <f>+D5*DATOS!F91+'PRESUPESTOS MOD'!D5</f>
        <v>0</v>
      </c>
      <c r="F5" s="320">
        <f>+E5*DATOS!F92+'PRESUPESTOS MOD'!E5</f>
        <v>0</v>
      </c>
      <c r="G5" s="320">
        <f>F5*DATOS!F93+'PRESUPESTOS MOD'!F5</f>
        <v>0</v>
      </c>
      <c r="H5" s="320">
        <f>+G5*DATOS!F94+'PRESUPESTOS MOD'!G5</f>
        <v>0</v>
      </c>
    </row>
    <row r="6" spans="1:8" ht="15">
      <c r="A6" s="64"/>
      <c r="B6" s="624" t="s">
        <v>56</v>
      </c>
      <c r="C6" s="624"/>
      <c r="D6" s="320">
        <v>0</v>
      </c>
      <c r="E6" s="320">
        <v>0</v>
      </c>
      <c r="F6" s="320">
        <v>0</v>
      </c>
      <c r="G6" s="320">
        <v>0</v>
      </c>
      <c r="H6" s="320">
        <v>0</v>
      </c>
    </row>
    <row r="7" spans="1:8" ht="15">
      <c r="A7" s="64"/>
      <c r="B7" s="625" t="s">
        <v>57</v>
      </c>
      <c r="C7" s="625"/>
      <c r="D7" s="320">
        <f>SUM(D4:D6)</f>
        <v>204800459.11775994</v>
      </c>
      <c r="E7" s="320">
        <f>SUM(E4:E6)</f>
        <v>213524958.67617652</v>
      </c>
      <c r="F7" s="320">
        <f>SUM(F4:F6)</f>
        <v>213896622.35736507</v>
      </c>
      <c r="G7" s="320">
        <f>SUM(G4:G6)</f>
        <v>223008618.46978882</v>
      </c>
      <c r="H7" s="320">
        <f>SUM(H4:H6)</f>
        <v>232508785.61660182</v>
      </c>
    </row>
    <row r="8" spans="1:8" ht="15">
      <c r="A8" s="64"/>
      <c r="B8" s="12"/>
      <c r="C8" s="12"/>
      <c r="D8" s="12"/>
      <c r="E8" s="12"/>
      <c r="F8" s="12"/>
      <c r="G8" s="12"/>
      <c r="H8" s="12"/>
    </row>
    <row r="9" spans="1:8" ht="15">
      <c r="A9" s="64"/>
      <c r="B9" s="603"/>
      <c r="C9" s="603"/>
      <c r="D9" s="603"/>
      <c r="E9" s="603"/>
      <c r="F9" s="603"/>
      <c r="G9" s="603"/>
      <c r="H9" s="603"/>
    </row>
    <row r="10" spans="1:8" ht="15">
      <c r="A10" s="64"/>
      <c r="B10" s="603"/>
      <c r="C10" s="603"/>
      <c r="D10" s="603"/>
      <c r="E10" s="603"/>
      <c r="F10" s="603"/>
      <c r="G10" s="603"/>
      <c r="H10" s="603"/>
    </row>
    <row r="11" spans="1:8" ht="15">
      <c r="A11" s="64"/>
      <c r="B11" s="603"/>
      <c r="C11" s="603"/>
      <c r="D11" s="603"/>
      <c r="E11" s="603"/>
      <c r="F11" s="603"/>
      <c r="G11" s="603"/>
      <c r="H11" s="603"/>
    </row>
    <row r="12" spans="1:8" ht="15">
      <c r="A12" s="64"/>
      <c r="B12" s="603"/>
      <c r="C12" s="603"/>
      <c r="D12" s="603"/>
      <c r="E12" s="603"/>
      <c r="F12" s="603"/>
      <c r="G12" s="603"/>
      <c r="H12" s="603"/>
    </row>
    <row r="13" spans="1:8" ht="15">
      <c r="A13" s="64"/>
      <c r="B13" s="12"/>
      <c r="C13" s="12"/>
      <c r="D13" s="12"/>
      <c r="E13" s="12"/>
      <c r="F13" s="12"/>
      <c r="G13" s="12"/>
      <c r="H13" s="12"/>
    </row>
    <row r="14" spans="1:8" ht="15">
      <c r="A14" s="64"/>
      <c r="B14" s="12"/>
      <c r="C14" s="12"/>
      <c r="D14" s="12"/>
      <c r="E14" s="12"/>
      <c r="F14" s="12"/>
      <c r="G14" s="12"/>
      <c r="H14" s="12"/>
    </row>
    <row r="15" spans="1:8" ht="15">
      <c r="A15" s="64"/>
      <c r="B15" s="12"/>
      <c r="C15" s="12"/>
      <c r="D15" s="12"/>
      <c r="E15" s="12"/>
      <c r="F15" s="12"/>
      <c r="G15" s="12"/>
      <c r="H15" s="12"/>
    </row>
    <row r="16" spans="1:8" ht="15">
      <c r="A16" s="64"/>
      <c r="B16" s="12"/>
      <c r="C16" s="12"/>
      <c r="D16" s="12"/>
      <c r="E16" s="12"/>
      <c r="F16" s="12"/>
      <c r="G16" s="12"/>
      <c r="H16" s="12"/>
    </row>
    <row r="17" s="12" customFormat="1" ht="15">
      <c r="A17" s="64"/>
    </row>
    <row r="18" s="12" customFormat="1" ht="15"/>
    <row r="19" s="12" customFormat="1" ht="15"/>
    <row r="20" s="12" customFormat="1" ht="15"/>
    <row r="21" s="12" customFormat="1" ht="15"/>
    <row r="22" s="12" customFormat="1" ht="15"/>
    <row r="23" s="12" customFormat="1" ht="15"/>
    <row r="24" s="12" customFormat="1" ht="15"/>
    <row r="25" s="12" customFormat="1" ht="15"/>
    <row r="26" s="12" customFormat="1" ht="15"/>
    <row r="27" s="12" customFormat="1" ht="15"/>
    <row r="28" s="12" customFormat="1" ht="15"/>
    <row r="29" s="12" customFormat="1" ht="15"/>
    <row r="30" s="12" customFormat="1" ht="15"/>
    <row r="31" s="12" customFormat="1" ht="15"/>
    <row r="32" s="12" customFormat="1" ht="15"/>
    <row r="33" s="12" customFormat="1" ht="15"/>
    <row r="34" s="12" customFormat="1" ht="15"/>
    <row r="35" s="12" customFormat="1" ht="15"/>
    <row r="36" s="12" customFormat="1" ht="15"/>
    <row r="37" s="12" customFormat="1" ht="15"/>
    <row r="38" s="12" customFormat="1" ht="15"/>
    <row r="39" s="12" customFormat="1" ht="15"/>
    <row r="40" s="12" customFormat="1" ht="15"/>
    <row r="41" s="12" customFormat="1" ht="15"/>
    <row r="42" s="12" customFormat="1" ht="15"/>
    <row r="43" s="12" customFormat="1" ht="15"/>
    <row r="44" s="12" customFormat="1" ht="15"/>
    <row r="45" s="12" customFormat="1" ht="15"/>
    <row r="46" s="12" customFormat="1" ht="15"/>
    <row r="47" s="12" customFormat="1" ht="15"/>
    <row r="48" s="12" customFormat="1" ht="15"/>
    <row r="49" s="12" customFormat="1" ht="15"/>
    <row r="50" s="12" customFormat="1" ht="15"/>
    <row r="51" s="12" customFormat="1" ht="15"/>
    <row r="52" s="12" customFormat="1" ht="15"/>
    <row r="53" s="12" customFormat="1" ht="15"/>
    <row r="54" s="12" customFormat="1" ht="15"/>
    <row r="55" s="12" customFormat="1" ht="15"/>
    <row r="56" s="12" customFormat="1" ht="15"/>
    <row r="57" s="12" customFormat="1" ht="15"/>
    <row r="58" s="12" customFormat="1" ht="15"/>
    <row r="59" s="12" customFormat="1" ht="15"/>
    <row r="60" s="12" customFormat="1" ht="15"/>
    <row r="61" s="12" customFormat="1" ht="15"/>
    <row r="62" s="12" customFormat="1" ht="15"/>
    <row r="63" s="12" customFormat="1" ht="15"/>
    <row r="64" s="12" customFormat="1" ht="15"/>
    <row r="65" s="12" customFormat="1" ht="15"/>
    <row r="66" s="12" customFormat="1" ht="15"/>
    <row r="67" s="12" customFormat="1" ht="15"/>
    <row r="68" s="12" customFormat="1" ht="15"/>
    <row r="69" s="12" customFormat="1" ht="15"/>
    <row r="70" s="12" customFormat="1" ht="15"/>
    <row r="71" s="12" customFormat="1" ht="15"/>
    <row r="72" s="12" customFormat="1" ht="15"/>
    <row r="73" s="12" customFormat="1" ht="15"/>
    <row r="74" s="12" customFormat="1" ht="15"/>
    <row r="75" s="12" customFormat="1" ht="15"/>
    <row r="76" s="12" customFormat="1" ht="15"/>
    <row r="77" s="12" customFormat="1" ht="15"/>
    <row r="78" s="12" customFormat="1" ht="15"/>
    <row r="79" s="12" customFormat="1" ht="15"/>
    <row r="80" s="12" customFormat="1" ht="15"/>
    <row r="81" s="12" customFormat="1" ht="15"/>
    <row r="82" s="12" customFormat="1" ht="15"/>
    <row r="83" s="12" customFormat="1" ht="15"/>
    <row r="84" s="12" customFormat="1" ht="15"/>
    <row r="85" s="12" customFormat="1" ht="15"/>
    <row r="86" s="12" customFormat="1" ht="15"/>
    <row r="87" s="12" customFormat="1" ht="15"/>
    <row r="88" s="12" customFormat="1" ht="15"/>
    <row r="89" s="12" customFormat="1" ht="15"/>
    <row r="90" s="12" customFormat="1" ht="15"/>
    <row r="91" s="12" customFormat="1" ht="15"/>
    <row r="92" s="12" customFormat="1" ht="15"/>
    <row r="93" s="12" customFormat="1" ht="15"/>
    <row r="94" s="12" customFormat="1" ht="15"/>
    <row r="95" s="12" customFormat="1" ht="15"/>
    <row r="96" s="12" customFormat="1" ht="15"/>
    <row r="97" s="12" customFormat="1" ht="15"/>
    <row r="98" s="12" customFormat="1" ht="15"/>
    <row r="99" s="12" customFormat="1" ht="15"/>
    <row r="100" s="12" customFormat="1" ht="15"/>
    <row r="101" s="12" customFormat="1" ht="15"/>
    <row r="102" s="12" customFormat="1" ht="15"/>
    <row r="103" s="12" customFormat="1" ht="15"/>
    <row r="104" s="12" customFormat="1" ht="15"/>
    <row r="105" s="12" customFormat="1" ht="15"/>
    <row r="106" s="12" customFormat="1" ht="15"/>
    <row r="107" s="12" customFormat="1" ht="15"/>
    <row r="108" s="12" customFormat="1" ht="15"/>
    <row r="109" s="12" customFormat="1" ht="15"/>
    <row r="110" s="12" customFormat="1" ht="15"/>
    <row r="111" s="12" customFormat="1" ht="15"/>
    <row r="112" s="12" customFormat="1" ht="15"/>
    <row r="113" s="12" customFormat="1" ht="15"/>
    <row r="114" s="12" customFormat="1" ht="15"/>
    <row r="115" s="12" customFormat="1" ht="15"/>
    <row r="116" s="12" customFormat="1" ht="15"/>
    <row r="117" s="12" customFormat="1" ht="15"/>
    <row r="118" s="12" customFormat="1" ht="15"/>
    <row r="119" s="12" customFormat="1" ht="15"/>
    <row r="120" s="12" customFormat="1" ht="15"/>
    <row r="121" s="12" customFormat="1" ht="15"/>
    <row r="122" s="12" customFormat="1" ht="15"/>
    <row r="123" s="12" customFormat="1" ht="15"/>
    <row r="124" s="12" customFormat="1" ht="15"/>
    <row r="125" s="12" customFormat="1" ht="15"/>
    <row r="126" s="12" customFormat="1" ht="15"/>
    <row r="127" s="12" customFormat="1" ht="15"/>
    <row r="128" s="12" customFormat="1" ht="15"/>
    <row r="129" s="12" customFormat="1" ht="15"/>
    <row r="130" s="12" customFormat="1" ht="15"/>
    <row r="131" s="12" customFormat="1" ht="15"/>
    <row r="132" s="12" customFormat="1" ht="15"/>
    <row r="133" s="12" customFormat="1" ht="15"/>
    <row r="134" s="12" customFormat="1" ht="15"/>
    <row r="135" s="12" customFormat="1" ht="15"/>
    <row r="136" s="12" customFormat="1" ht="15"/>
    <row r="137" s="12" customFormat="1" ht="15"/>
    <row r="138" s="12" customFormat="1" ht="15"/>
    <row r="139" s="12" customFormat="1" ht="15"/>
    <row r="140" s="12" customFormat="1" ht="15"/>
    <row r="141" s="12" customFormat="1" ht="15"/>
    <row r="142" s="12" customFormat="1" ht="15"/>
    <row r="143" s="12" customFormat="1" ht="15"/>
    <row r="144" s="12" customFormat="1" ht="15"/>
    <row r="145" s="12" customFormat="1" ht="15"/>
    <row r="146" s="12" customFormat="1" ht="15"/>
    <row r="147" s="12" customFormat="1" ht="15"/>
    <row r="148" s="12" customFormat="1" ht="15"/>
    <row r="149" s="12" customFormat="1" ht="15"/>
    <row r="150" s="12" customFormat="1" ht="15"/>
    <row r="151" s="12" customFormat="1" ht="15"/>
    <row r="152" s="12" customFormat="1" ht="15"/>
    <row r="153" s="12" customFormat="1" ht="15"/>
    <row r="154" s="12" customFormat="1" ht="15"/>
    <row r="155" s="12" customFormat="1" ht="15"/>
    <row r="156" s="12" customFormat="1" ht="15"/>
    <row r="157" s="12" customFormat="1" ht="15"/>
    <row r="158" s="12" customFormat="1" ht="15"/>
    <row r="159" s="12" customFormat="1" ht="15"/>
    <row r="160" s="12" customFormat="1" ht="15"/>
    <row r="161" s="12" customFormat="1" ht="15"/>
    <row r="162" s="12" customFormat="1" ht="15"/>
    <row r="163" s="12" customFormat="1" ht="15"/>
    <row r="164" s="12" customFormat="1" ht="15"/>
    <row r="165" s="12" customFormat="1" ht="15"/>
    <row r="166" s="12" customFormat="1" ht="15"/>
    <row r="167" s="12" customFormat="1" ht="15"/>
    <row r="168" s="12" customFormat="1" ht="15"/>
    <row r="169" s="12" customFormat="1" ht="15"/>
    <row r="170" s="12" customFormat="1" ht="15"/>
    <row r="171" s="12" customFormat="1" ht="15"/>
    <row r="172" s="12" customFormat="1" ht="15"/>
    <row r="173" s="12" customFormat="1" ht="15"/>
    <row r="174" s="12" customFormat="1" ht="15"/>
    <row r="175" s="12" customFormat="1" ht="15"/>
    <row r="176" s="12" customFormat="1" ht="15"/>
    <row r="177" s="12" customFormat="1" ht="15"/>
    <row r="178" s="12" customFormat="1" ht="15"/>
    <row r="179" s="12" customFormat="1" ht="15"/>
    <row r="180" s="12" customFormat="1" ht="15"/>
    <row r="181" s="12" customFormat="1" ht="15"/>
    <row r="182" s="12" customFormat="1" ht="15"/>
    <row r="183" s="12" customFormat="1" ht="15"/>
    <row r="184" s="12" customFormat="1" ht="15"/>
    <row r="185" s="12" customFormat="1" ht="15"/>
    <row r="186" s="12" customFormat="1" ht="15"/>
    <row r="187" s="12" customFormat="1" ht="15"/>
    <row r="188" s="12" customFormat="1" ht="15"/>
    <row r="189" s="12" customFormat="1" ht="15"/>
    <row r="190" s="12" customFormat="1" ht="15"/>
    <row r="191" s="12" customFormat="1" ht="15"/>
    <row r="192" s="12" customFormat="1" ht="15"/>
    <row r="193" s="12" customFormat="1" ht="15"/>
    <row r="194" s="12" customFormat="1" ht="15"/>
    <row r="195" s="12" customFormat="1" ht="15"/>
    <row r="196" s="12" customFormat="1" ht="15"/>
    <row r="197" s="12" customFormat="1" ht="15"/>
    <row r="198" s="12" customFormat="1" ht="15"/>
    <row r="199" s="12" customFormat="1" ht="15"/>
    <row r="200" s="12" customFormat="1" ht="15"/>
    <row r="201" s="12" customFormat="1" ht="15"/>
    <row r="202" s="12" customFormat="1" ht="15"/>
    <row r="203" s="12" customFormat="1" ht="15"/>
    <row r="204" s="12" customFormat="1" ht="15"/>
    <row r="205" s="12" customFormat="1" ht="15"/>
    <row r="206" s="12" customFormat="1" ht="15"/>
    <row r="207" s="12" customFormat="1" ht="15"/>
    <row r="208" s="12" customFormat="1" ht="15"/>
    <row r="209" s="12" customFormat="1" ht="15"/>
    <row r="210" s="12" customFormat="1" ht="15"/>
    <row r="211" s="12" customFormat="1" ht="15"/>
    <row r="212" s="12" customFormat="1" ht="15"/>
    <row r="213" s="12" customFormat="1" ht="15"/>
    <row r="214" s="12" customFormat="1" ht="15"/>
    <row r="215" s="12" customFormat="1" ht="15"/>
    <row r="216" s="12" customFormat="1" ht="15"/>
    <row r="217" s="12" customFormat="1" ht="15"/>
    <row r="218" s="12" customFormat="1" ht="15"/>
    <row r="219" s="12" customFormat="1" ht="15"/>
    <row r="220" s="12" customFormat="1" ht="15"/>
    <row r="221" s="12" customFormat="1" ht="15"/>
    <row r="222" s="12" customFormat="1" ht="15"/>
    <row r="223" s="12" customFormat="1" ht="15"/>
    <row r="224" s="12" customFormat="1" ht="15"/>
    <row r="225" s="12" customFormat="1" ht="15"/>
    <row r="226" s="12" customFormat="1" ht="15"/>
    <row r="227" s="12" customFormat="1" ht="15"/>
    <row r="228" s="12" customFormat="1" ht="15"/>
    <row r="229" s="12" customFormat="1" ht="15"/>
    <row r="230" s="12" customFormat="1" ht="15"/>
    <row r="231" s="12" customFormat="1" ht="15"/>
    <row r="232" s="12" customFormat="1" ht="15"/>
    <row r="233" s="12" customFormat="1" ht="15"/>
    <row r="234" s="12" customFormat="1" ht="15"/>
    <row r="235" s="12" customFormat="1" ht="15"/>
    <row r="236" s="12" customFormat="1" ht="15"/>
    <row r="237" s="12" customFormat="1" ht="15"/>
    <row r="238" s="12" customFormat="1" ht="15"/>
    <row r="239" s="12" customFormat="1" ht="15"/>
    <row r="240" s="12" customFormat="1" ht="15"/>
    <row r="241" s="12" customFormat="1" ht="15"/>
    <row r="242" s="12" customFormat="1" ht="15"/>
    <row r="243" s="12" customFormat="1" ht="15"/>
    <row r="244" s="12" customFormat="1" ht="15"/>
    <row r="245" s="12" customFormat="1" ht="15"/>
    <row r="246" s="12" customFormat="1" ht="15"/>
    <row r="247" s="12" customFormat="1" ht="15"/>
    <row r="248" s="12" customFormat="1" ht="15"/>
    <row r="249" s="12" customFormat="1" ht="15"/>
    <row r="250" s="12" customFormat="1" ht="15"/>
    <row r="251" s="12" customFormat="1" ht="15"/>
    <row r="252" s="12" customFormat="1" ht="15"/>
    <row r="253" s="12" customFormat="1" ht="15"/>
    <row r="254" s="12" customFormat="1" ht="15"/>
    <row r="255" s="12" customFormat="1" ht="15"/>
    <row r="256" s="12" customFormat="1" ht="15"/>
    <row r="257" s="12" customFormat="1" ht="15"/>
    <row r="258" s="12" customFormat="1" ht="15"/>
    <row r="259" s="12" customFormat="1" ht="15"/>
    <row r="260" s="12" customFormat="1" ht="15"/>
    <row r="261" s="12" customFormat="1" ht="15"/>
    <row r="262" s="12" customFormat="1" ht="15"/>
    <row r="263" s="12" customFormat="1" ht="15"/>
    <row r="264" s="12" customFormat="1" ht="15"/>
    <row r="265" s="12" customFormat="1" ht="15"/>
    <row r="266" s="12" customFormat="1" ht="15"/>
    <row r="267" s="12" customFormat="1" ht="15"/>
    <row r="268" s="12" customFormat="1" ht="15"/>
    <row r="269" s="12" customFormat="1" ht="15"/>
    <row r="270" s="12" customFormat="1" ht="15"/>
    <row r="271" s="12" customFormat="1" ht="15"/>
    <row r="272" s="12" customFormat="1" ht="15"/>
    <row r="273" s="12" customFormat="1" ht="15"/>
    <row r="274" s="12" customFormat="1" ht="15"/>
    <row r="275" s="12" customFormat="1" ht="15"/>
    <row r="276" s="12" customFormat="1" ht="15"/>
    <row r="277" s="12" customFormat="1" ht="15"/>
    <row r="278" s="12" customFormat="1" ht="15"/>
    <row r="279" s="12" customFormat="1" ht="15"/>
    <row r="280" s="12" customFormat="1" ht="15"/>
    <row r="281" s="12" customFormat="1" ht="15"/>
    <row r="282" s="12" customFormat="1" ht="15"/>
    <row r="283" s="12" customFormat="1" ht="15"/>
    <row r="284" s="12" customFormat="1" ht="15"/>
    <row r="285" s="12" customFormat="1" ht="15"/>
    <row r="286" s="12" customFormat="1" ht="15"/>
    <row r="287" s="12" customFormat="1" ht="15"/>
    <row r="288" s="12" customFormat="1" ht="15"/>
    <row r="289" s="12" customFormat="1" ht="15"/>
    <row r="290" s="12" customFormat="1" ht="15"/>
    <row r="291" s="12" customFormat="1" ht="15"/>
    <row r="292" s="12" customFormat="1" ht="15"/>
    <row r="293" s="12" customFormat="1" ht="15"/>
    <row r="294" s="12" customFormat="1" ht="15"/>
    <row r="295" s="12" customFormat="1" ht="15"/>
    <row r="296" s="12" customFormat="1" ht="15"/>
    <row r="297" s="12" customFormat="1" ht="15"/>
    <row r="298" s="12" customFormat="1" ht="15"/>
    <row r="299" s="12" customFormat="1" ht="15"/>
    <row r="300" s="12" customFormat="1" ht="15"/>
    <row r="301" s="12" customFormat="1" ht="15"/>
    <row r="302" s="12" customFormat="1" ht="15"/>
    <row r="303" s="12" customFormat="1" ht="15"/>
    <row r="304" s="12" customFormat="1" ht="15"/>
    <row r="305" s="12" customFormat="1" ht="15"/>
    <row r="306" s="12" customFormat="1" ht="15"/>
    <row r="307" s="12" customFormat="1" ht="15"/>
    <row r="308" s="12" customFormat="1" ht="15"/>
    <row r="309" s="12" customFormat="1" ht="15"/>
    <row r="310" s="12" customFormat="1" ht="15"/>
    <row r="311" s="12" customFormat="1" ht="15"/>
    <row r="312" s="12" customFormat="1" ht="15"/>
    <row r="313" s="12" customFormat="1" ht="15"/>
    <row r="314" s="12" customFormat="1" ht="15"/>
    <row r="315" s="12" customFormat="1" ht="15"/>
    <row r="316" s="12" customFormat="1" ht="15"/>
    <row r="317" s="12" customFormat="1" ht="15"/>
    <row r="318" s="12" customFormat="1" ht="15"/>
    <row r="319" s="12" customFormat="1" ht="15"/>
    <row r="320" s="12" customFormat="1" ht="15"/>
    <row r="321" s="12" customFormat="1" ht="15"/>
    <row r="322" s="12" customFormat="1" ht="15"/>
    <row r="323" s="12" customFormat="1" ht="15"/>
    <row r="324" s="12" customFormat="1" ht="15"/>
    <row r="325" s="12" customFormat="1" ht="15"/>
    <row r="326" s="12" customFormat="1" ht="15"/>
    <row r="327" s="12" customFormat="1" ht="15"/>
    <row r="328" s="12" customFormat="1" ht="15"/>
    <row r="329" s="12" customFormat="1" ht="15"/>
    <row r="330" s="12" customFormat="1" ht="15"/>
    <row r="331" s="12" customFormat="1" ht="15"/>
    <row r="332" s="12" customFormat="1" ht="15"/>
    <row r="333" s="12" customFormat="1" ht="15"/>
    <row r="334" s="12" customFormat="1" ht="15"/>
    <row r="335" s="12" customFormat="1" ht="15"/>
    <row r="336" s="12" customFormat="1" ht="15"/>
    <row r="337" s="12" customFormat="1" ht="15"/>
    <row r="338" s="12" customFormat="1" ht="15"/>
    <row r="339" s="12" customFormat="1" ht="15"/>
    <row r="340" s="12" customFormat="1" ht="15"/>
    <row r="341" s="12" customFormat="1" ht="15"/>
    <row r="342" s="12" customFormat="1" ht="15"/>
    <row r="343" s="12" customFormat="1" ht="15"/>
    <row r="344" s="12" customFormat="1" ht="15"/>
    <row r="345" s="12" customFormat="1" ht="15"/>
    <row r="346" s="12" customFormat="1" ht="15"/>
    <row r="347" s="12" customFormat="1" ht="15"/>
    <row r="348" s="12" customFormat="1" ht="15"/>
    <row r="349" s="12" customFormat="1" ht="15"/>
    <row r="350" s="12" customFormat="1" ht="15"/>
    <row r="351" s="12" customFormat="1" ht="15"/>
    <row r="352" s="12" customFormat="1" ht="15"/>
    <row r="353" s="12" customFormat="1" ht="15"/>
    <row r="354" s="12" customFormat="1" ht="15"/>
    <row r="355" s="12" customFormat="1" ht="15"/>
    <row r="356" s="12" customFormat="1" ht="15"/>
    <row r="357" s="12" customFormat="1" ht="15"/>
    <row r="358" s="12" customFormat="1" ht="15"/>
    <row r="359" s="12" customFormat="1" ht="15"/>
    <row r="360" s="12" customFormat="1" ht="15"/>
    <row r="361" s="12" customFormat="1" ht="15"/>
    <row r="362" s="12" customFormat="1" ht="15"/>
    <row r="363" s="12" customFormat="1" ht="15"/>
    <row r="364" s="12" customFormat="1" ht="15"/>
    <row r="365" s="12" customFormat="1" ht="15"/>
    <row r="366" s="12" customFormat="1" ht="15"/>
    <row r="367" s="12" customFormat="1" ht="15"/>
    <row r="368" s="12" customFormat="1" ht="15"/>
    <row r="369" s="12" customFormat="1" ht="15"/>
    <row r="370" s="12" customFormat="1" ht="15"/>
    <row r="371" s="12" customFormat="1" ht="15"/>
    <row r="372" s="12" customFormat="1" ht="15"/>
    <row r="373" s="12" customFormat="1" ht="15"/>
    <row r="374" s="12" customFormat="1" ht="15"/>
    <row r="375" s="12" customFormat="1" ht="15"/>
    <row r="376" s="12" customFormat="1" ht="15"/>
    <row r="377" s="12" customFormat="1" ht="15"/>
    <row r="378" s="12" customFormat="1" ht="15"/>
    <row r="379" s="12" customFormat="1" ht="15"/>
    <row r="380" s="12" customFormat="1" ht="15"/>
    <row r="381" s="12" customFormat="1" ht="15"/>
    <row r="382" s="12" customFormat="1" ht="15"/>
    <row r="383" s="12" customFormat="1" ht="15"/>
    <row r="384" s="12" customFormat="1" ht="15"/>
    <row r="385" s="12" customFormat="1" ht="15"/>
    <row r="386" s="12" customFormat="1" ht="15"/>
    <row r="387" s="12" customFormat="1" ht="15"/>
    <row r="388" s="12" customFormat="1" ht="15"/>
    <row r="389" s="12" customFormat="1" ht="15"/>
    <row r="390" s="12" customFormat="1" ht="15"/>
    <row r="391" s="12" customFormat="1" ht="15"/>
    <row r="392" s="12" customFormat="1" ht="15"/>
    <row r="393" s="12" customFormat="1" ht="15"/>
    <row r="394" s="12" customFormat="1" ht="15"/>
    <row r="395" s="12" customFormat="1" ht="15"/>
    <row r="396" s="12" customFormat="1" ht="15"/>
    <row r="397" s="12" customFormat="1" ht="15"/>
    <row r="398" s="12" customFormat="1" ht="15"/>
    <row r="399" s="12" customFormat="1" ht="15"/>
    <row r="400" s="12" customFormat="1" ht="15"/>
    <row r="401" s="12" customFormat="1" ht="15"/>
    <row r="402" s="12" customFormat="1" ht="15"/>
    <row r="403" s="12" customFormat="1" ht="15"/>
    <row r="404" s="12" customFormat="1" ht="15"/>
    <row r="405" s="12" customFormat="1" ht="15"/>
    <row r="406" s="12" customFormat="1" ht="15"/>
    <row r="407" s="12" customFormat="1" ht="15"/>
    <row r="408" s="12" customFormat="1" ht="15"/>
    <row r="409" s="12" customFormat="1" ht="15"/>
    <row r="410" s="12" customFormat="1" ht="15"/>
    <row r="411" s="12" customFormat="1" ht="15"/>
    <row r="412" s="12" customFormat="1" ht="15"/>
    <row r="413" s="12" customFormat="1" ht="15"/>
    <row r="414" s="12" customFormat="1" ht="15"/>
    <row r="415" s="12" customFormat="1" ht="15"/>
    <row r="416" s="12" customFormat="1" ht="15"/>
    <row r="417" s="12" customFormat="1" ht="15"/>
    <row r="418" s="12" customFormat="1" ht="15"/>
    <row r="419" s="12" customFormat="1" ht="15"/>
    <row r="420" s="12" customFormat="1" ht="15"/>
    <row r="421" s="12" customFormat="1" ht="15"/>
    <row r="422" s="12" customFormat="1" ht="15"/>
    <row r="423" s="12" customFormat="1" ht="15"/>
    <row r="424" s="12" customFormat="1" ht="15"/>
    <row r="425" s="12" customFormat="1" ht="15"/>
    <row r="426" s="12" customFormat="1" ht="15"/>
    <row r="427" s="12" customFormat="1" ht="15"/>
    <row r="428" s="12" customFormat="1" ht="15"/>
    <row r="429" s="12" customFormat="1" ht="15"/>
    <row r="430" s="12" customFormat="1" ht="15"/>
    <row r="431" s="12" customFormat="1" ht="15"/>
    <row r="432" s="12" customFormat="1" ht="15"/>
    <row r="433" s="12" customFormat="1" ht="15"/>
    <row r="434" s="12" customFormat="1" ht="15"/>
    <row r="435" s="12" customFormat="1" ht="15"/>
    <row r="436" s="12" customFormat="1" ht="15"/>
    <row r="437" s="12" customFormat="1" ht="15"/>
    <row r="438" s="12" customFormat="1" ht="15"/>
    <row r="439" s="12" customFormat="1" ht="15"/>
    <row r="440" s="12" customFormat="1" ht="15"/>
    <row r="441" s="12" customFormat="1" ht="15"/>
    <row r="442" s="12" customFormat="1" ht="15"/>
    <row r="443" s="12" customFormat="1" ht="15"/>
    <row r="444" s="12" customFormat="1" ht="15"/>
    <row r="445" s="12" customFormat="1" ht="15"/>
    <row r="446" s="12" customFormat="1" ht="15"/>
    <row r="447" s="12" customFormat="1" ht="15"/>
    <row r="448" s="12" customFormat="1" ht="15"/>
    <row r="449" s="12" customFormat="1" ht="15"/>
    <row r="450" s="12" customFormat="1" ht="15"/>
    <row r="451" s="12" customFormat="1" ht="15"/>
    <row r="452" s="12" customFormat="1" ht="15"/>
    <row r="453" s="12" customFormat="1" ht="15"/>
    <row r="454" s="12" customFormat="1" ht="15"/>
    <row r="455" s="12" customFormat="1" ht="15"/>
    <row r="456" s="12" customFormat="1" ht="15"/>
    <row r="457" s="12" customFormat="1" ht="15"/>
    <row r="458" s="12" customFormat="1" ht="15"/>
    <row r="459" s="12" customFormat="1" ht="15"/>
    <row r="460" s="12" customFormat="1" ht="15"/>
    <row r="461" s="12" customFormat="1" ht="15"/>
    <row r="462" s="12" customFormat="1" ht="15"/>
    <row r="463" s="12" customFormat="1" ht="15"/>
    <row r="464" s="12" customFormat="1" ht="15"/>
    <row r="465" s="12" customFormat="1" ht="15"/>
    <row r="466" s="12" customFormat="1" ht="15"/>
    <row r="467" s="12" customFormat="1" ht="15"/>
    <row r="468" s="12" customFormat="1" ht="15"/>
    <row r="469" s="12" customFormat="1" ht="15"/>
    <row r="470" s="12" customFormat="1" ht="15"/>
    <row r="471" s="12" customFormat="1" ht="15"/>
    <row r="472" s="12" customFormat="1" ht="15"/>
    <row r="473" s="12" customFormat="1" ht="15"/>
    <row r="474" s="12" customFormat="1" ht="15"/>
    <row r="475" s="12" customFormat="1" ht="15"/>
    <row r="476" s="12" customFormat="1" ht="15"/>
    <row r="477" s="12" customFormat="1" ht="15"/>
    <row r="478" s="12" customFormat="1" ht="15"/>
    <row r="479" s="12" customFormat="1" ht="15"/>
    <row r="480" s="12" customFormat="1" ht="15"/>
    <row r="481" s="12" customFormat="1" ht="15"/>
    <row r="482" s="12" customFormat="1" ht="15"/>
    <row r="483" s="12" customFormat="1" ht="15"/>
    <row r="484" s="12" customFormat="1" ht="15"/>
    <row r="485" s="12" customFormat="1" ht="15"/>
    <row r="486" s="12" customFormat="1" ht="15"/>
    <row r="487" s="12" customFormat="1" ht="15"/>
    <row r="488" s="12" customFormat="1" ht="15"/>
    <row r="489" s="12" customFormat="1" ht="15"/>
    <row r="490" s="12" customFormat="1" ht="15"/>
    <row r="491" s="12" customFormat="1" ht="15"/>
    <row r="492" s="12" customFormat="1" ht="15"/>
    <row r="493" s="12" customFormat="1" ht="15"/>
    <row r="494" s="12" customFormat="1" ht="15"/>
    <row r="495" s="12" customFormat="1" ht="15"/>
    <row r="496" s="12" customFormat="1" ht="15"/>
    <row r="497" s="12" customFormat="1" ht="15"/>
    <row r="498" s="12" customFormat="1" ht="15"/>
    <row r="499" s="12" customFormat="1" ht="15"/>
    <row r="500" s="12" customFormat="1" ht="15"/>
    <row r="501" s="12" customFormat="1" ht="15"/>
    <row r="502" s="12" customFormat="1" ht="15"/>
    <row r="503" s="12" customFormat="1" ht="15"/>
    <row r="504" s="12" customFormat="1" ht="15"/>
    <row r="505" s="12" customFormat="1" ht="15"/>
    <row r="506" s="12" customFormat="1" ht="15"/>
    <row r="507" s="12" customFormat="1" ht="15"/>
    <row r="508" s="12" customFormat="1" ht="15"/>
    <row r="509" s="12" customFormat="1" ht="15"/>
    <row r="510" s="12" customFormat="1" ht="15"/>
    <row r="511" s="12" customFormat="1" ht="15"/>
    <row r="512" s="12" customFormat="1" ht="15"/>
    <row r="513" s="12" customFormat="1" ht="15"/>
    <row r="514" s="12" customFormat="1" ht="15"/>
    <row r="515" s="12" customFormat="1" ht="15"/>
    <row r="516" s="12" customFormat="1" ht="15"/>
  </sheetData>
  <sheetProtection/>
  <mergeCells count="7">
    <mergeCell ref="B9:H12"/>
    <mergeCell ref="B2:H2"/>
    <mergeCell ref="B3:C3"/>
    <mergeCell ref="B4:C4"/>
    <mergeCell ref="B6:C6"/>
    <mergeCell ref="B7:C7"/>
    <mergeCell ref="B5:C5"/>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24997000396251678"/>
  </sheetPr>
  <dimension ref="A1:J21"/>
  <sheetViews>
    <sheetView zoomScale="80" zoomScaleNormal="80" zoomScalePageLayoutView="0" workbookViewId="0" topLeftCell="A1">
      <selection activeCell="A4" sqref="A4"/>
    </sheetView>
  </sheetViews>
  <sheetFormatPr defaultColWidth="11.421875" defaultRowHeight="15"/>
  <cols>
    <col min="1" max="1" width="18.421875" style="12" customWidth="1"/>
    <col min="2" max="2" width="15.8515625" style="12" customWidth="1"/>
    <col min="3" max="3" width="16.140625" style="12" customWidth="1"/>
    <col min="4" max="4" width="20.57421875" style="12" customWidth="1"/>
    <col min="5" max="16384" width="11.421875" style="12" customWidth="1"/>
  </cols>
  <sheetData>
    <row r="1" spans="1:4" ht="16.5" thickBot="1">
      <c r="A1" s="632" t="s">
        <v>58</v>
      </c>
      <c r="B1" s="633"/>
      <c r="C1" s="633"/>
      <c r="D1" s="634"/>
    </row>
    <row r="2" spans="1:4" ht="15.75" thickBot="1">
      <c r="A2" s="635" t="s">
        <v>59</v>
      </c>
      <c r="B2" s="636"/>
      <c r="C2" s="636"/>
      <c r="D2" s="637"/>
    </row>
    <row r="3" spans="1:10" ht="25.5">
      <c r="A3" s="240" t="s">
        <v>60</v>
      </c>
      <c r="B3" s="241" t="s">
        <v>61</v>
      </c>
      <c r="C3" s="241" t="s">
        <v>62</v>
      </c>
      <c r="D3" s="242" t="s">
        <v>63</v>
      </c>
      <c r="F3" s="628"/>
      <c r="G3" s="628"/>
      <c r="H3" s="628"/>
      <c r="I3" s="628"/>
      <c r="J3" s="628"/>
    </row>
    <row r="4" spans="1:10" ht="15">
      <c r="A4" s="15">
        <f>+DATOS!K13</f>
        <v>16480656</v>
      </c>
      <c r="B4" s="16">
        <f>+DATOS!K25</f>
        <v>0</v>
      </c>
      <c r="C4" s="16">
        <f>DATOS!K75+DATOS!S75</f>
        <v>12484485.859930001</v>
      </c>
      <c r="D4" s="17">
        <f>SUM(A4:C4)</f>
        <v>28965141.85993</v>
      </c>
      <c r="F4" s="628"/>
      <c r="G4" s="628"/>
      <c r="H4" s="628"/>
      <c r="I4" s="628"/>
      <c r="J4" s="628"/>
    </row>
    <row r="5" spans="1:10" ht="15.75" thickBot="1">
      <c r="A5" s="243"/>
      <c r="B5" s="244"/>
      <c r="C5" s="244"/>
      <c r="D5" s="245"/>
      <c r="F5" s="628"/>
      <c r="G5" s="628"/>
      <c r="H5" s="628"/>
      <c r="I5" s="628"/>
      <c r="J5" s="628"/>
    </row>
    <row r="6" spans="1:10" ht="15.75" thickBot="1">
      <c r="A6" s="629" t="s">
        <v>64</v>
      </c>
      <c r="B6" s="630"/>
      <c r="C6" s="630"/>
      <c r="D6" s="631"/>
      <c r="F6" s="628"/>
      <c r="G6" s="628"/>
      <c r="H6" s="628"/>
      <c r="I6" s="628"/>
      <c r="J6" s="628"/>
    </row>
    <row r="7" spans="1:10" ht="25.5">
      <c r="A7" s="240" t="s">
        <v>60</v>
      </c>
      <c r="B7" s="241" t="s">
        <v>61</v>
      </c>
      <c r="C7" s="241" t="s">
        <v>62</v>
      </c>
      <c r="D7" s="242" t="s">
        <v>63</v>
      </c>
      <c r="F7" s="628"/>
      <c r="G7" s="628"/>
      <c r="H7" s="628"/>
      <c r="I7" s="628"/>
      <c r="J7" s="628"/>
    </row>
    <row r="8" spans="1:10" ht="15">
      <c r="A8" s="15">
        <f>+A4*DATOS!K20+'PRESUPUESTOS DE CIF'!A4</f>
        <v>17255246.832</v>
      </c>
      <c r="B8" s="16">
        <f>+B4*DATOS!K26+'PRESUPUESTOS DE CIF'!B4</f>
        <v>0</v>
      </c>
      <c r="C8" s="16">
        <f>+C4</f>
        <v>12484485.859930001</v>
      </c>
      <c r="D8" s="17">
        <f>SUM(A8:C8)</f>
        <v>29739732.69193</v>
      </c>
      <c r="F8" s="628"/>
      <c r="G8" s="628"/>
      <c r="H8" s="628"/>
      <c r="I8" s="628"/>
      <c r="J8" s="628"/>
    </row>
    <row r="9" spans="1:4" ht="15.75" thickBot="1">
      <c r="A9" s="19"/>
      <c r="B9" s="19"/>
      <c r="C9" s="244"/>
      <c r="D9" s="245"/>
    </row>
    <row r="10" spans="1:4" ht="15.75" thickBot="1">
      <c r="A10" s="629" t="s">
        <v>65</v>
      </c>
      <c r="B10" s="630"/>
      <c r="C10" s="630"/>
      <c r="D10" s="631"/>
    </row>
    <row r="11" spans="1:4" ht="25.5">
      <c r="A11" s="240" t="s">
        <v>60</v>
      </c>
      <c r="B11" s="241" t="s">
        <v>61</v>
      </c>
      <c r="C11" s="241" t="s">
        <v>62</v>
      </c>
      <c r="D11" s="242" t="s">
        <v>63</v>
      </c>
    </row>
    <row r="12" spans="1:4" ht="15">
      <c r="A12" s="15">
        <f>'PRESUPUESTOS DE CIF'!A8*DATOS!K21+'PRESUPUESTOS DE CIF'!A8</f>
        <v>18066243.433103997</v>
      </c>
      <c r="B12" s="16">
        <f>B8*DATOS!K27+'PRESUPUESTOS DE CIF'!B8</f>
        <v>0</v>
      </c>
      <c r="C12" s="16">
        <f>+C8</f>
        <v>12484485.859930001</v>
      </c>
      <c r="D12" s="17">
        <f>SUM(A12:C12)</f>
        <v>30550729.293034</v>
      </c>
    </row>
    <row r="13" spans="1:4" ht="15.75" thickBot="1">
      <c r="A13" s="19"/>
      <c r="B13" s="19"/>
      <c r="C13" s="244"/>
      <c r="D13" s="245"/>
    </row>
    <row r="14" spans="1:4" ht="15.75" thickBot="1">
      <c r="A14" s="629" t="s">
        <v>66</v>
      </c>
      <c r="B14" s="630"/>
      <c r="C14" s="630"/>
      <c r="D14" s="631"/>
    </row>
    <row r="15" spans="1:4" ht="25.5">
      <c r="A15" s="240" t="s">
        <v>60</v>
      </c>
      <c r="B15" s="241" t="s">
        <v>61</v>
      </c>
      <c r="C15" s="241" t="s">
        <v>62</v>
      </c>
      <c r="D15" s="242" t="s">
        <v>63</v>
      </c>
    </row>
    <row r="16" spans="1:4" ht="15">
      <c r="A16" s="15">
        <f>A12*DATOS!K22+'PRESUPUESTOS DE CIF'!A12</f>
        <v>18915356.874459885</v>
      </c>
      <c r="B16" s="16">
        <f>B12*DATOS!K28+'PRESUPUESTOS DE CIF'!B8</f>
        <v>0</v>
      </c>
      <c r="C16" s="16">
        <f>+C12</f>
        <v>12484485.859930001</v>
      </c>
      <c r="D16" s="17">
        <f>SUM(A16:C16)</f>
        <v>31399842.734389886</v>
      </c>
    </row>
    <row r="17" spans="1:4" ht="15.75" thickBot="1">
      <c r="A17" s="19"/>
      <c r="B17" s="19"/>
      <c r="C17" s="244"/>
      <c r="D17" s="245"/>
    </row>
    <row r="18" spans="1:4" ht="15.75" thickBot="1">
      <c r="A18" s="629" t="s">
        <v>67</v>
      </c>
      <c r="B18" s="630"/>
      <c r="C18" s="630"/>
      <c r="D18" s="631"/>
    </row>
    <row r="19" spans="1:4" ht="25.5">
      <c r="A19" s="246" t="s">
        <v>60</v>
      </c>
      <c r="B19" s="247" t="s">
        <v>61</v>
      </c>
      <c r="C19" s="247" t="s">
        <v>62</v>
      </c>
      <c r="D19" s="248" t="s">
        <v>63</v>
      </c>
    </row>
    <row r="20" spans="1:4" ht="15">
      <c r="A20" s="15">
        <f>A16*DATOS!K23+'PRESUPUESTOS DE CIF'!A16</f>
        <v>19804378.6475595</v>
      </c>
      <c r="B20" s="16">
        <f>+B16*DATOS!K29+'PRESUPUESTOS DE CIF'!B16</f>
        <v>0</v>
      </c>
      <c r="C20" s="16">
        <f>+C16</f>
        <v>12484485.859930001</v>
      </c>
      <c r="D20" s="17">
        <f>SUM(A20:C20)</f>
        <v>32288864.507489502</v>
      </c>
    </row>
    <row r="21" spans="1:4" ht="15.75" thickBot="1">
      <c r="A21" s="249"/>
      <c r="B21" s="18"/>
      <c r="C21" s="250"/>
      <c r="D21" s="251"/>
    </row>
  </sheetData>
  <sheetProtection/>
  <mergeCells count="7">
    <mergeCell ref="F3:J8"/>
    <mergeCell ref="A18:D18"/>
    <mergeCell ref="A1:D1"/>
    <mergeCell ref="A2:D2"/>
    <mergeCell ref="A6:D6"/>
    <mergeCell ref="A10:D10"/>
    <mergeCell ref="A14:D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7030A0"/>
  </sheetPr>
  <dimension ref="B2:L53"/>
  <sheetViews>
    <sheetView zoomScale="80" zoomScaleNormal="80" zoomScalePageLayoutView="0" workbookViewId="0" topLeftCell="A5">
      <selection activeCell="F7" sqref="F7"/>
    </sheetView>
  </sheetViews>
  <sheetFormatPr defaultColWidth="11.421875" defaultRowHeight="15"/>
  <cols>
    <col min="1" max="1" width="1.28515625" style="12" customWidth="1"/>
    <col min="2" max="2" width="19.7109375" style="12" customWidth="1"/>
    <col min="3" max="4" width="21.57421875" style="12" customWidth="1"/>
    <col min="5" max="5" width="22.57421875" style="12" customWidth="1"/>
    <col min="6" max="6" width="23.421875" style="12" customWidth="1"/>
    <col min="7" max="7" width="15.57421875" style="12" bestFit="1" customWidth="1"/>
    <col min="8" max="8" width="16.00390625" style="12" customWidth="1"/>
    <col min="9" max="16384" width="11.421875" style="12" customWidth="1"/>
  </cols>
  <sheetData>
    <row r="1" ht="15.75" thickBot="1"/>
    <row r="2" spans="2:6" ht="16.5" customHeight="1" thickBot="1">
      <c r="B2" s="642" t="s">
        <v>68</v>
      </c>
      <c r="C2" s="643"/>
      <c r="D2" s="643"/>
      <c r="E2" s="643"/>
      <c r="F2" s="644"/>
    </row>
    <row r="3" spans="2:8" ht="11.25" customHeight="1" thickBot="1">
      <c r="B3" s="318"/>
      <c r="C3" s="318"/>
      <c r="D3" s="318"/>
      <c r="E3" s="318"/>
      <c r="F3" s="318"/>
      <c r="G3" s="264"/>
      <c r="H3" s="264"/>
    </row>
    <row r="4" spans="2:12" ht="15.75" thickBot="1">
      <c r="B4" s="639" t="s">
        <v>59</v>
      </c>
      <c r="C4" s="640"/>
      <c r="D4" s="640"/>
      <c r="E4" s="640"/>
      <c r="F4" s="641"/>
      <c r="H4" s="264"/>
      <c r="I4" s="44"/>
      <c r="J4" s="44"/>
      <c r="K4" s="44"/>
      <c r="L4" s="44"/>
    </row>
    <row r="5" spans="2:6" ht="38.25">
      <c r="B5" s="307" t="s">
        <v>69</v>
      </c>
      <c r="C5" s="308" t="s">
        <v>70</v>
      </c>
      <c r="D5" s="308" t="s">
        <v>215</v>
      </c>
      <c r="E5" s="308" t="s">
        <v>71</v>
      </c>
      <c r="F5" s="309" t="s">
        <v>63</v>
      </c>
    </row>
    <row r="6" spans="2:12" ht="15" customHeight="1">
      <c r="B6" s="376">
        <f>+DATOS!I78</f>
        <v>60000000</v>
      </c>
      <c r="C6" s="377">
        <f>+DATOS!J78*(1.51)</f>
        <v>0</v>
      </c>
      <c r="D6" s="377">
        <f>+H53</f>
        <v>0</v>
      </c>
      <c r="E6" s="377">
        <f>+DATOS!O75+DATOS!W75</f>
        <v>5982269.8</v>
      </c>
      <c r="F6" s="378">
        <f>SUM(B6:E6)</f>
        <v>65982269.8</v>
      </c>
      <c r="H6" s="638"/>
      <c r="I6" s="638"/>
      <c r="J6" s="638"/>
      <c r="K6" s="638"/>
      <c r="L6" s="638"/>
    </row>
    <row r="7" spans="2:12" ht="15.75" customHeight="1" thickBot="1">
      <c r="B7" s="310"/>
      <c r="C7" s="311"/>
      <c r="D7" s="311"/>
      <c r="E7" s="311"/>
      <c r="F7" s="312"/>
      <c r="G7" s="430"/>
      <c r="H7" s="638"/>
      <c r="I7" s="638"/>
      <c r="J7" s="638"/>
      <c r="K7" s="638"/>
      <c r="L7" s="638"/>
    </row>
    <row r="8" spans="2:12" ht="9.75" customHeight="1" thickBot="1">
      <c r="B8" s="313"/>
      <c r="C8" s="313"/>
      <c r="D8" s="313"/>
      <c r="E8" s="313"/>
      <c r="F8" s="313"/>
      <c r="G8" s="264"/>
      <c r="H8" s="638"/>
      <c r="I8" s="638"/>
      <c r="J8" s="638"/>
      <c r="K8" s="638"/>
      <c r="L8" s="638"/>
    </row>
    <row r="9" spans="2:12" ht="15.75" customHeight="1" thickBot="1">
      <c r="B9" s="639" t="s">
        <v>64</v>
      </c>
      <c r="C9" s="640"/>
      <c r="D9" s="640"/>
      <c r="E9" s="640"/>
      <c r="F9" s="641"/>
      <c r="H9" s="638"/>
      <c r="I9" s="638"/>
      <c r="J9" s="638"/>
      <c r="K9" s="638"/>
      <c r="L9" s="638"/>
    </row>
    <row r="10" spans="2:12" ht="38.25">
      <c r="B10" s="307" t="s">
        <v>69</v>
      </c>
      <c r="C10" s="308" t="s">
        <v>70</v>
      </c>
      <c r="D10" s="308"/>
      <c r="E10" s="308" t="s">
        <v>71</v>
      </c>
      <c r="F10" s="309" t="s">
        <v>63</v>
      </c>
      <c r="H10" s="638"/>
      <c r="I10" s="638"/>
      <c r="J10" s="638"/>
      <c r="K10" s="638"/>
      <c r="L10" s="638"/>
    </row>
    <row r="11" spans="2:12" ht="15" customHeight="1">
      <c r="B11" s="379">
        <f>+B6*DATOS!I82+'PRESUPUESTO DE GASTOS ADMINISTR'!B6</f>
        <v>62280000</v>
      </c>
      <c r="C11" s="380">
        <f>+C6*DATOS!J82+'PRESUPUESTO DE GASTOS ADMINISTR'!C6</f>
        <v>0</v>
      </c>
      <c r="D11" s="380">
        <f>+I53</f>
        <v>0</v>
      </c>
      <c r="E11" s="380">
        <f>+E6</f>
        <v>5982269.8</v>
      </c>
      <c r="F11" s="381">
        <f>SUM(B11:E11)</f>
        <v>68262269.8</v>
      </c>
      <c r="H11" s="638"/>
      <c r="I11" s="638"/>
      <c r="J11" s="638"/>
      <c r="K11" s="638"/>
      <c r="L11" s="638"/>
    </row>
    <row r="12" spans="2:12" ht="15.75" customHeight="1" thickBot="1">
      <c r="B12" s="314"/>
      <c r="C12" s="315"/>
      <c r="D12" s="315"/>
      <c r="E12" s="311"/>
      <c r="F12" s="312"/>
      <c r="H12" s="638"/>
      <c r="I12" s="638"/>
      <c r="J12" s="638"/>
      <c r="K12" s="638"/>
      <c r="L12" s="638"/>
    </row>
    <row r="13" spans="2:12" ht="10.5" customHeight="1" thickBot="1">
      <c r="B13" s="316"/>
      <c r="C13" s="316"/>
      <c r="D13" s="316"/>
      <c r="E13" s="313"/>
      <c r="F13" s="313"/>
      <c r="G13" s="264"/>
      <c r="H13" s="317"/>
      <c r="I13" s="99"/>
      <c r="J13" s="99"/>
      <c r="K13" s="99"/>
      <c r="L13" s="99"/>
    </row>
    <row r="14" spans="2:12" ht="15.75" thickBot="1">
      <c r="B14" s="639" t="s">
        <v>65</v>
      </c>
      <c r="C14" s="640"/>
      <c r="D14" s="640"/>
      <c r="E14" s="640"/>
      <c r="F14" s="641"/>
      <c r="H14" s="44"/>
      <c r="I14" s="44"/>
      <c r="J14" s="44"/>
      <c r="K14" s="44"/>
      <c r="L14" s="44"/>
    </row>
    <row r="15" spans="2:12" ht="38.25">
      <c r="B15" s="301" t="s">
        <v>69</v>
      </c>
      <c r="C15" s="302" t="s">
        <v>70</v>
      </c>
      <c r="D15" s="302"/>
      <c r="E15" s="302" t="s">
        <v>71</v>
      </c>
      <c r="F15" s="303" t="s">
        <v>63</v>
      </c>
      <c r="H15" s="44"/>
      <c r="I15" s="44"/>
      <c r="J15" s="44"/>
      <c r="K15" s="44"/>
      <c r="L15" s="44"/>
    </row>
    <row r="16" spans="2:6" ht="15">
      <c r="B16" s="379">
        <f>+B11*DATOS!I84+'PRESUPUESTO DE GASTOS ADMINISTR'!B11</f>
        <v>64771200</v>
      </c>
      <c r="C16" s="380">
        <f>+C11*DATOS!J84+'PRESUPUESTO DE GASTOS ADMINISTR'!C11</f>
        <v>0</v>
      </c>
      <c r="D16" s="380">
        <f>+J53</f>
        <v>0</v>
      </c>
      <c r="E16" s="380">
        <f>+E11</f>
        <v>5982269.8</v>
      </c>
      <c r="F16" s="381">
        <f>SUM(B16:E16)</f>
        <v>70753469.8</v>
      </c>
    </row>
    <row r="17" spans="2:6" ht="15.75" thickBot="1">
      <c r="B17" s="306"/>
      <c r="C17" s="306"/>
      <c r="D17" s="306"/>
      <c r="E17" s="304"/>
      <c r="F17" s="305"/>
    </row>
    <row r="18" spans="2:6" ht="15.75" thickBot="1">
      <c r="B18" s="639" t="s">
        <v>66</v>
      </c>
      <c r="C18" s="640"/>
      <c r="D18" s="640"/>
      <c r="E18" s="640"/>
      <c r="F18" s="641"/>
    </row>
    <row r="19" spans="2:6" ht="38.25">
      <c r="B19" s="307" t="s">
        <v>69</v>
      </c>
      <c r="C19" s="308" t="s">
        <v>70</v>
      </c>
      <c r="D19" s="308"/>
      <c r="E19" s="308" t="s">
        <v>71</v>
      </c>
      <c r="F19" s="309" t="s">
        <v>63</v>
      </c>
    </row>
    <row r="20" spans="2:6" ht="15">
      <c r="B20" s="379">
        <f>+B16*DATOS!I86+'PRESUPUESTO DE GASTOS ADMINISTR'!B16</f>
        <v>67491590.4</v>
      </c>
      <c r="C20" s="380">
        <f>+C16*DATOS!J86+'PRESUPUESTO DE GASTOS ADMINISTR'!C16</f>
        <v>0</v>
      </c>
      <c r="D20" s="380">
        <f>+K53</f>
        <v>0</v>
      </c>
      <c r="E20" s="380">
        <f>+E16</f>
        <v>5982269.8</v>
      </c>
      <c r="F20" s="381">
        <f>SUM(B20:E20)</f>
        <v>73473860.2</v>
      </c>
    </row>
    <row r="21" spans="2:6" ht="15.75" thickBot="1">
      <c r="B21" s="314"/>
      <c r="C21" s="315"/>
      <c r="D21" s="315"/>
      <c r="E21" s="311"/>
      <c r="F21" s="312"/>
    </row>
    <row r="22" spans="2:8" ht="7.5" customHeight="1" thickBot="1">
      <c r="B22" s="316"/>
      <c r="C22" s="316"/>
      <c r="D22" s="316"/>
      <c r="E22" s="313"/>
      <c r="F22" s="313"/>
      <c r="G22" s="264"/>
      <c r="H22" s="264"/>
    </row>
    <row r="23" spans="2:6" ht="15.75" thickBot="1">
      <c r="B23" s="639" t="s">
        <v>67</v>
      </c>
      <c r="C23" s="640"/>
      <c r="D23" s="640"/>
      <c r="E23" s="640"/>
      <c r="F23" s="641"/>
    </row>
    <row r="24" spans="2:6" ht="38.25">
      <c r="B24" s="307" t="s">
        <v>69</v>
      </c>
      <c r="C24" s="308" t="s">
        <v>70</v>
      </c>
      <c r="D24" s="308"/>
      <c r="E24" s="308" t="s">
        <v>71</v>
      </c>
      <c r="F24" s="309" t="s">
        <v>63</v>
      </c>
    </row>
    <row r="25" spans="2:6" ht="15">
      <c r="B25" s="379">
        <f>+B20*DATOS!I88+'PRESUPUESTO DE GASTOS ADMINISTR'!B20</f>
        <v>70461220.3776</v>
      </c>
      <c r="C25" s="380">
        <f>+C20*DATOS!J88+'PRESUPUESTO DE GASTOS ADMINISTR'!C20</f>
        <v>0</v>
      </c>
      <c r="D25" s="380">
        <f>+L53</f>
        <v>0</v>
      </c>
      <c r="E25" s="380">
        <f>+E20</f>
        <v>5982269.8</v>
      </c>
      <c r="F25" s="381">
        <f>SUM(B25:E25)</f>
        <v>76443490.1776</v>
      </c>
    </row>
    <row r="26" spans="2:6" ht="15.75" thickBot="1">
      <c r="B26" s="314"/>
      <c r="C26" s="315"/>
      <c r="D26" s="315"/>
      <c r="E26" s="311"/>
      <c r="F26" s="312"/>
    </row>
    <row r="42" ht="15">
      <c r="H42" s="12" t="s">
        <v>21</v>
      </c>
    </row>
    <row r="43" spans="2:12" ht="15">
      <c r="B43" s="33">
        <f>+DATOS!F97</f>
        <v>0</v>
      </c>
      <c r="C43" s="31">
        <f>'PRESUPUESTOS DE VENTA  '!E3</f>
        <v>987900000</v>
      </c>
      <c r="D43" s="31">
        <f>'PRESUPUESTOS DE VENTA  '!L3</f>
        <v>1077721200</v>
      </c>
      <c r="E43" s="31">
        <f>'PRESUPUESTOS DE VENTA  '!S3</f>
        <v>1173534324</v>
      </c>
      <c r="F43" s="31">
        <f>'PRESUPUESTOS DE VENTA  '!Z3</f>
        <v>1279902624</v>
      </c>
      <c r="G43" s="31">
        <f>'PRESUPUESTOS DE VENTA  '!AG3</f>
        <v>1393359552</v>
      </c>
      <c r="H43" s="31">
        <f>+$B$43*C43</f>
        <v>0</v>
      </c>
      <c r="I43" s="31">
        <f>+$B$43*D43</f>
        <v>0</v>
      </c>
      <c r="J43" s="31">
        <f>+$B$43*E43</f>
        <v>0</v>
      </c>
      <c r="K43" s="31">
        <f>+$B$43*F43</f>
        <v>0</v>
      </c>
      <c r="L43" s="31">
        <f>+$B$43*G43</f>
        <v>0</v>
      </c>
    </row>
    <row r="44" spans="2:12" ht="15">
      <c r="B44" s="33">
        <f>+DATOS!F98</f>
        <v>0</v>
      </c>
      <c r="C44" s="31">
        <f>'PRESUPUESTOS DE VENTA  '!E4</f>
        <v>0</v>
      </c>
      <c r="D44" s="31">
        <f>'PRESUPUESTOS DE VENTA  '!L4</f>
        <v>0</v>
      </c>
      <c r="E44" s="31">
        <f>'PRESUPUESTOS DE VENTA  '!S4</f>
        <v>0</v>
      </c>
      <c r="F44" s="31">
        <f>'PRESUPUESTOS DE VENTA  '!Z4</f>
        <v>0</v>
      </c>
      <c r="G44" s="31">
        <f>'PRESUPUESTOS DE VENTA  '!AG4</f>
        <v>0</v>
      </c>
      <c r="H44" s="31">
        <f>+$B$44*C44</f>
        <v>0</v>
      </c>
      <c r="I44" s="31">
        <f>+$B$44*D44</f>
        <v>0</v>
      </c>
      <c r="J44" s="31">
        <f>+$B$44*E44</f>
        <v>0</v>
      </c>
      <c r="K44" s="31">
        <f>+$B$44*F44</f>
        <v>0</v>
      </c>
      <c r="L44" s="31">
        <f>+$B$44*G44</f>
        <v>0</v>
      </c>
    </row>
    <row r="45" spans="2:12" ht="15">
      <c r="B45" s="33">
        <f>+DATOS!F99</f>
        <v>0</v>
      </c>
      <c r="C45" s="31">
        <f>'PRESUPUESTOS DE VENTA  '!E5</f>
        <v>0</v>
      </c>
      <c r="D45" s="31">
        <f>'PRESUPUESTOS DE VENTA  '!L5</f>
        <v>0</v>
      </c>
      <c r="E45" s="31">
        <f>'PRESUPUESTOS DE VENTA  '!S5</f>
        <v>0</v>
      </c>
      <c r="F45" s="31">
        <f>'PRESUPUESTOS DE VENTA  '!Z5</f>
        <v>0</v>
      </c>
      <c r="G45" s="31">
        <f>'PRESUPUESTOS DE VENTA  '!AG5</f>
        <v>0</v>
      </c>
      <c r="H45" s="31">
        <f>+$B$45*C45</f>
        <v>0</v>
      </c>
      <c r="I45" s="31">
        <f>+$B$45*D45</f>
        <v>0</v>
      </c>
      <c r="J45" s="31">
        <f>+$B$45*E45</f>
        <v>0</v>
      </c>
      <c r="K45" s="31">
        <f>+$B$45*F45</f>
        <v>0</v>
      </c>
      <c r="L45" s="31">
        <f>+$B$45*G45</f>
        <v>0</v>
      </c>
    </row>
    <row r="46" spans="2:12" ht="15">
      <c r="B46" s="33">
        <f>+DATOS!F100</f>
        <v>0</v>
      </c>
      <c r="C46" s="31">
        <f>'PRESUPUESTOS DE VENTA  '!E6</f>
        <v>0</v>
      </c>
      <c r="D46" s="31">
        <f>'PRESUPUESTOS DE VENTA  '!L6</f>
        <v>0</v>
      </c>
      <c r="E46" s="31">
        <f>'PRESUPUESTOS DE VENTA  '!S6</f>
        <v>0</v>
      </c>
      <c r="F46" s="31">
        <f>'PRESUPUESTOS DE VENTA  '!Z6</f>
        <v>0</v>
      </c>
      <c r="G46" s="31">
        <f>'PRESUPUESTOS DE VENTA  '!AG6</f>
        <v>0</v>
      </c>
      <c r="H46" s="31">
        <f>+$B$46*C46</f>
        <v>0</v>
      </c>
      <c r="I46" s="31">
        <f>+$B$46*D46</f>
        <v>0</v>
      </c>
      <c r="J46" s="31">
        <f>+$B$46*E46</f>
        <v>0</v>
      </c>
      <c r="K46" s="31">
        <f>+$B$46*F46</f>
        <v>0</v>
      </c>
      <c r="L46" s="31">
        <f>+$B$46*G46</f>
        <v>0</v>
      </c>
    </row>
    <row r="47" spans="2:12" ht="15">
      <c r="B47" s="33">
        <f>+DATOS!F101</f>
        <v>0</v>
      </c>
      <c r="C47" s="31">
        <f>'PRESUPUESTOS DE VENTA  '!E7</f>
        <v>0</v>
      </c>
      <c r="D47" s="31">
        <f>'PRESUPUESTOS DE VENTA  '!L7</f>
        <v>0</v>
      </c>
      <c r="E47" s="31">
        <f>'PRESUPUESTOS DE VENTA  '!S7</f>
        <v>0</v>
      </c>
      <c r="F47" s="31">
        <f>'PRESUPUESTOS DE VENTA  '!Z7</f>
        <v>0</v>
      </c>
      <c r="G47" s="31">
        <f>'PRESUPUESTOS DE VENTA  '!AG7</f>
        <v>0</v>
      </c>
      <c r="H47" s="31">
        <f>+$B$47*C47</f>
        <v>0</v>
      </c>
      <c r="I47" s="31">
        <f>+$B$47*D47</f>
        <v>0</v>
      </c>
      <c r="J47" s="31">
        <f>+$B$47*E47</f>
        <v>0</v>
      </c>
      <c r="K47" s="31">
        <f>+$B$47*F47</f>
        <v>0</v>
      </c>
      <c r="L47" s="31">
        <f>+$B$47*G47</f>
        <v>0</v>
      </c>
    </row>
    <row r="48" spans="2:12" ht="15">
      <c r="B48" s="33">
        <f>+DATOS!F102</f>
        <v>0</v>
      </c>
      <c r="C48" s="31">
        <f>'PRESUPUESTOS DE VENTA  '!E8</f>
        <v>0</v>
      </c>
      <c r="D48" s="31">
        <f>'PRESUPUESTOS DE VENTA  '!L8</f>
        <v>0</v>
      </c>
      <c r="E48" s="31">
        <f>'PRESUPUESTOS DE VENTA  '!S8</f>
        <v>0</v>
      </c>
      <c r="F48" s="31">
        <f>'PRESUPUESTOS DE VENTA  '!Z8</f>
        <v>0</v>
      </c>
      <c r="G48" s="31">
        <f>'PRESUPUESTOS DE VENTA  '!AG8</f>
        <v>0</v>
      </c>
      <c r="H48" s="31">
        <f>+$B$48*C48</f>
        <v>0</v>
      </c>
      <c r="I48" s="31">
        <f>+$B$48*D48</f>
        <v>0</v>
      </c>
      <c r="J48" s="31">
        <f>+$B$48*E48</f>
        <v>0</v>
      </c>
      <c r="K48" s="31">
        <f>+$B$48*F48</f>
        <v>0</v>
      </c>
      <c r="L48" s="31">
        <f>+$B$48*G48</f>
        <v>0</v>
      </c>
    </row>
    <row r="49" spans="2:12" ht="15">
      <c r="B49" s="33">
        <f>+DATOS!F103</f>
        <v>0</v>
      </c>
      <c r="C49" s="31">
        <f>'PRESUPUESTOS DE VENTA  '!E9</f>
        <v>0</v>
      </c>
      <c r="D49" s="31">
        <f>'PRESUPUESTOS DE VENTA  '!L9</f>
        <v>0</v>
      </c>
      <c r="E49" s="31">
        <f>'PRESUPUESTOS DE VENTA  '!S9</f>
        <v>0</v>
      </c>
      <c r="F49" s="31">
        <f>'PRESUPUESTOS DE VENTA  '!Z9</f>
        <v>0</v>
      </c>
      <c r="G49" s="31">
        <f>'PRESUPUESTOS DE VENTA  '!AG9</f>
        <v>0</v>
      </c>
      <c r="H49" s="31">
        <f>+$B$49*C49</f>
        <v>0</v>
      </c>
      <c r="I49" s="31">
        <f>+$B$49*D49</f>
        <v>0</v>
      </c>
      <c r="J49" s="31">
        <f>+$B$49*E49</f>
        <v>0</v>
      </c>
      <c r="K49" s="31">
        <f>+$B$49*F49</f>
        <v>0</v>
      </c>
      <c r="L49" s="31">
        <f>+$B$49*G49</f>
        <v>0</v>
      </c>
    </row>
    <row r="50" spans="2:12" ht="15">
      <c r="B50" s="33">
        <f>+DATOS!F104</f>
        <v>0</v>
      </c>
      <c r="C50" s="31">
        <f>'PRESUPUESTOS DE VENTA  '!E10</f>
        <v>0</v>
      </c>
      <c r="D50" s="31">
        <f>'PRESUPUESTOS DE VENTA  '!L10</f>
        <v>0</v>
      </c>
      <c r="E50" s="31">
        <f>'PRESUPUESTOS DE VENTA  '!S10</f>
        <v>0</v>
      </c>
      <c r="F50" s="31">
        <f>'PRESUPUESTOS DE VENTA  '!Z10</f>
        <v>0</v>
      </c>
      <c r="G50" s="31">
        <f>'PRESUPUESTOS DE VENTA  '!AG10</f>
        <v>0</v>
      </c>
      <c r="H50" s="31">
        <f>+$B$50*C50</f>
        <v>0</v>
      </c>
      <c r="I50" s="31">
        <f>+$B$50*D50</f>
        <v>0</v>
      </c>
      <c r="J50" s="31">
        <f>+$B$50*E50</f>
        <v>0</v>
      </c>
      <c r="K50" s="31">
        <f>+$B$50*F50</f>
        <v>0</v>
      </c>
      <c r="L50" s="31">
        <f>+$B$50*G50</f>
        <v>0</v>
      </c>
    </row>
    <row r="51" spans="2:12" ht="15">
      <c r="B51" s="33">
        <f>+DATOS!F105</f>
        <v>0</v>
      </c>
      <c r="C51" s="31">
        <f>'PRESUPUESTOS DE VENTA  '!E11</f>
        <v>0</v>
      </c>
      <c r="D51" s="31">
        <f>'PRESUPUESTOS DE VENTA  '!L11</f>
        <v>0</v>
      </c>
      <c r="E51" s="31">
        <f>'PRESUPUESTOS DE VENTA  '!S11</f>
        <v>0</v>
      </c>
      <c r="F51" s="31">
        <f>'PRESUPUESTOS DE VENTA  '!Z11</f>
        <v>0</v>
      </c>
      <c r="G51" s="31">
        <f>'PRESUPUESTOS DE VENTA  '!AG11</f>
        <v>0</v>
      </c>
      <c r="H51" s="31">
        <f>+$B$51*C51</f>
        <v>0</v>
      </c>
      <c r="I51" s="31">
        <f>+$B$51*D51</f>
        <v>0</v>
      </c>
      <c r="J51" s="31">
        <f>+$B$51*E51</f>
        <v>0</v>
      </c>
      <c r="K51" s="31">
        <f>+$B$51*F51</f>
        <v>0</v>
      </c>
      <c r="L51" s="31">
        <f>+$B$51*G51</f>
        <v>0</v>
      </c>
    </row>
    <row r="52" spans="2:12" ht="15">
      <c r="B52" s="33">
        <f>+DATOS!F106</f>
        <v>0</v>
      </c>
      <c r="C52" s="31">
        <f>'PRESUPUESTOS DE VENTA  '!E12</f>
        <v>0</v>
      </c>
      <c r="D52" s="31">
        <f>'PRESUPUESTOS DE VENTA  '!L12</f>
        <v>0</v>
      </c>
      <c r="E52" s="31">
        <f>'PRESUPUESTOS DE VENTA  '!S12</f>
        <v>0</v>
      </c>
      <c r="F52" s="31">
        <f>'PRESUPUESTOS DE VENTA  '!Z12</f>
        <v>0</v>
      </c>
      <c r="G52" s="31">
        <f>'PRESUPUESTOS DE VENTA  '!AG12</f>
        <v>0</v>
      </c>
      <c r="H52" s="31">
        <f>+$B$52*C52</f>
        <v>0</v>
      </c>
      <c r="I52" s="31">
        <f>+$B$52*D52</f>
        <v>0</v>
      </c>
      <c r="J52" s="31">
        <f>+$B$52*E52</f>
        <v>0</v>
      </c>
      <c r="K52" s="31">
        <f>+$B$52*F52</f>
        <v>0</v>
      </c>
      <c r="L52" s="31">
        <f>+$B$52*G52</f>
        <v>0</v>
      </c>
    </row>
    <row r="53" spans="2:12" ht="15">
      <c r="B53" s="32"/>
      <c r="H53" s="34">
        <f>SUM(H43:H52)</f>
        <v>0</v>
      </c>
      <c r="I53" s="34">
        <f>SUM(I43:I52)</f>
        <v>0</v>
      </c>
      <c r="J53" s="34">
        <f>SUM(J43:J52)</f>
        <v>0</v>
      </c>
      <c r="K53" s="34">
        <f>SUM(K43:K52)</f>
        <v>0</v>
      </c>
      <c r="L53" s="34">
        <f>SUM(L43:L52)</f>
        <v>0</v>
      </c>
    </row>
  </sheetData>
  <sheetProtection/>
  <mergeCells count="7">
    <mergeCell ref="H6:L12"/>
    <mergeCell ref="B23:F23"/>
    <mergeCell ref="B2:F2"/>
    <mergeCell ref="B4:F4"/>
    <mergeCell ref="B9:F9"/>
    <mergeCell ref="B14:F14"/>
    <mergeCell ref="B18:F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6" tint="-0.4999699890613556"/>
  </sheetPr>
  <dimension ref="B2:G18"/>
  <sheetViews>
    <sheetView zoomScale="90" zoomScaleNormal="90" zoomScalePageLayoutView="0" workbookViewId="0" topLeftCell="A1">
      <selection activeCell="K14" sqref="K14"/>
    </sheetView>
  </sheetViews>
  <sheetFormatPr defaultColWidth="11.421875" defaultRowHeight="15"/>
  <cols>
    <col min="1" max="1" width="0.9921875" style="12" customWidth="1"/>
    <col min="2" max="2" width="23.00390625" style="12" customWidth="1"/>
    <col min="3" max="3" width="15.57421875" style="12" customWidth="1"/>
    <col min="4" max="4" width="15.7109375" style="12" bestFit="1" customWidth="1"/>
    <col min="5" max="5" width="15.421875" style="12" customWidth="1"/>
    <col min="6" max="6" width="16.57421875" style="12" customWidth="1"/>
    <col min="7" max="7" width="19.8515625" style="12" customWidth="1"/>
    <col min="8" max="16384" width="11.421875" style="12" customWidth="1"/>
  </cols>
  <sheetData>
    <row r="1" ht="6.75" customHeight="1" thickBot="1"/>
    <row r="2" spans="2:7" ht="15.75" thickBot="1">
      <c r="B2" s="645" t="s">
        <v>72</v>
      </c>
      <c r="C2" s="646"/>
      <c r="D2" s="646"/>
      <c r="E2" s="646"/>
      <c r="F2" s="646"/>
      <c r="G2" s="647"/>
    </row>
    <row r="3" spans="2:7" ht="15">
      <c r="B3" s="298" t="s">
        <v>20</v>
      </c>
      <c r="C3" s="299" t="s">
        <v>21</v>
      </c>
      <c r="D3" s="299" t="s">
        <v>28</v>
      </c>
      <c r="E3" s="299" t="s">
        <v>30</v>
      </c>
      <c r="F3" s="299" t="s">
        <v>32</v>
      </c>
      <c r="G3" s="300" t="s">
        <v>34</v>
      </c>
    </row>
    <row r="4" spans="2:7" ht="15">
      <c r="B4" s="293" t="str">
        <f>DATOS!M80</f>
        <v>Internet</v>
      </c>
      <c r="C4" s="292">
        <f>+DATOS!N80</f>
        <v>0</v>
      </c>
      <c r="D4" s="292">
        <f>+C4*DATOS!$O$80+'PRESUPUESTO DE PUBLICIDAD'!C4</f>
        <v>0</v>
      </c>
      <c r="E4" s="292">
        <f>+D4*DATOS!$P$80+'PRESUPUESTO DE PUBLICIDAD'!D4</f>
        <v>0</v>
      </c>
      <c r="F4" s="292">
        <f>+E4*DATOS!$Q$80+'PRESUPUESTO DE PUBLICIDAD'!E4</f>
        <v>0</v>
      </c>
      <c r="G4" s="294">
        <f>+F4*DATOS!$R$80+F4</f>
        <v>0</v>
      </c>
    </row>
    <row r="5" spans="2:7" ht="15">
      <c r="B5" s="293" t="str">
        <f>DATOS!M81</f>
        <v>Publicidad </v>
      </c>
      <c r="C5" s="292">
        <f>+DATOS!N81</f>
        <v>1500000</v>
      </c>
      <c r="D5" s="292">
        <f>+C5*DATOS!$O$80+'PRESUPUESTO DE PUBLICIDAD'!C5</f>
        <v>1515000</v>
      </c>
      <c r="E5" s="292">
        <f>+D5*DATOS!$P$80+'PRESUPUESTO DE PUBLICIDAD'!D5</f>
        <v>1530150</v>
      </c>
      <c r="F5" s="292">
        <f>+E5*DATOS!$Q$80+'PRESUPUESTO DE PUBLICIDAD'!E5</f>
        <v>1545451.5</v>
      </c>
      <c r="G5" s="294">
        <f>+F5*DATOS!$R$80+F5</f>
        <v>1560906.015</v>
      </c>
    </row>
    <row r="6" spans="2:7" ht="15">
      <c r="B6" s="293" t="str">
        <f>DATOS!M82</f>
        <v>Pagina Web Diseño</v>
      </c>
      <c r="C6" s="292">
        <f>+DATOS!N82</f>
        <v>600000</v>
      </c>
      <c r="D6" s="292">
        <f>+C6*DATOS!$O$80+'PRESUPUESTO DE PUBLICIDAD'!C6</f>
        <v>606000</v>
      </c>
      <c r="E6" s="292">
        <f>+D6*DATOS!$P$80+'PRESUPUESTO DE PUBLICIDAD'!D6</f>
        <v>612060</v>
      </c>
      <c r="F6" s="292">
        <f>+E6*DATOS!$Q$80+'PRESUPUESTO DE PUBLICIDAD'!E6</f>
        <v>618180.6</v>
      </c>
      <c r="G6" s="294">
        <f>+F6*DATOS!$R$80+F6</f>
        <v>624362.406</v>
      </c>
    </row>
    <row r="7" spans="2:7" ht="15">
      <c r="B7" s="293" t="str">
        <f>DATOS!M83</f>
        <v>Hosting y dominio</v>
      </c>
      <c r="C7" s="292">
        <f>+DATOS!N83</f>
        <v>300000</v>
      </c>
      <c r="D7" s="292">
        <f>+C7*DATOS!$O$80+'PRESUPUESTO DE PUBLICIDAD'!C7</f>
        <v>303000</v>
      </c>
      <c r="E7" s="292">
        <f>+D7*DATOS!$P$80+'PRESUPUESTO DE PUBLICIDAD'!D7</f>
        <v>306030</v>
      </c>
      <c r="F7" s="292">
        <f>+E7*DATOS!$Q$80+'PRESUPUESTO DE PUBLICIDAD'!E7</f>
        <v>309090.3</v>
      </c>
      <c r="G7" s="294">
        <f>+F7*DATOS!$R$80+F7</f>
        <v>312181.203</v>
      </c>
    </row>
    <row r="8" spans="2:7" ht="15">
      <c r="B8" s="293" t="str">
        <f>DATOS!M84</f>
        <v>Otros</v>
      </c>
      <c r="C8" s="292">
        <f>+DATOS!N84</f>
        <v>0</v>
      </c>
      <c r="D8" s="292">
        <f>+C8*DATOS!$O$80+'PRESUPUESTO DE PUBLICIDAD'!C8</f>
        <v>0</v>
      </c>
      <c r="E8" s="292">
        <f>+D8*DATOS!$P$80+'PRESUPUESTO DE PUBLICIDAD'!D8</f>
        <v>0</v>
      </c>
      <c r="F8" s="292">
        <f>+E8*DATOS!$Q$80+'PRESUPUESTO DE PUBLICIDAD'!E8</f>
        <v>0</v>
      </c>
      <c r="G8" s="294">
        <f>+F8*DATOS!$R$80+F8</f>
        <v>0</v>
      </c>
    </row>
    <row r="9" spans="2:7" ht="15.75" thickBot="1">
      <c r="B9" s="295" t="s">
        <v>2</v>
      </c>
      <c r="C9" s="296">
        <f>SUM(C4:C8)</f>
        <v>2400000</v>
      </c>
      <c r="D9" s="296">
        <f>SUM(D4:D8)</f>
        <v>2424000</v>
      </c>
      <c r="E9" s="296">
        <f>SUM(E4:E8)</f>
        <v>2448240</v>
      </c>
      <c r="F9" s="296">
        <f>SUM(F4:F8)</f>
        <v>2472722.4</v>
      </c>
      <c r="G9" s="297">
        <f>SUM(G4:G8)</f>
        <v>2497449.624</v>
      </c>
    </row>
    <row r="12" spans="2:7" ht="15">
      <c r="B12" s="603"/>
      <c r="C12" s="603"/>
      <c r="D12" s="603"/>
      <c r="E12" s="603"/>
      <c r="F12" s="603"/>
      <c r="G12" s="603"/>
    </row>
    <row r="13" spans="2:7" ht="15">
      <c r="B13" s="603"/>
      <c r="C13" s="603"/>
      <c r="D13" s="603"/>
      <c r="E13" s="603"/>
      <c r="F13" s="603"/>
      <c r="G13" s="603"/>
    </row>
    <row r="14" spans="2:7" ht="15">
      <c r="B14" s="603"/>
      <c r="C14" s="603"/>
      <c r="D14" s="603"/>
      <c r="E14" s="603"/>
      <c r="F14" s="603"/>
      <c r="G14" s="603"/>
    </row>
    <row r="15" spans="2:7" ht="15">
      <c r="B15" s="603"/>
      <c r="C15" s="603"/>
      <c r="D15" s="603"/>
      <c r="E15" s="603"/>
      <c r="F15" s="603"/>
      <c r="G15" s="603"/>
    </row>
    <row r="16" spans="2:7" ht="15">
      <c r="B16" s="603"/>
      <c r="C16" s="603"/>
      <c r="D16" s="603"/>
      <c r="E16" s="603"/>
      <c r="F16" s="603"/>
      <c r="G16" s="603"/>
    </row>
    <row r="17" spans="2:7" ht="15">
      <c r="B17" s="603"/>
      <c r="C17" s="603"/>
      <c r="D17" s="603"/>
      <c r="E17" s="603"/>
      <c r="F17" s="603"/>
      <c r="G17" s="603"/>
    </row>
    <row r="18" spans="2:7" ht="15.75">
      <c r="B18" s="48"/>
      <c r="C18" s="48"/>
      <c r="D18" s="48"/>
      <c r="E18" s="48"/>
      <c r="F18" s="48"/>
      <c r="G18" s="48"/>
    </row>
  </sheetData>
  <sheetProtection password="CF7A" sheet="1"/>
  <mergeCells count="2">
    <mergeCell ref="B2:G2"/>
    <mergeCell ref="B12:G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uniminuto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uniminuto</dc:creator>
  <cp:keywords/>
  <dc:description/>
  <cp:lastModifiedBy>Belkys Corrales</cp:lastModifiedBy>
  <cp:lastPrinted>2018-09-23T18:46:38Z</cp:lastPrinted>
  <dcterms:created xsi:type="dcterms:W3CDTF">2011-09-16T15:43:09Z</dcterms:created>
  <dcterms:modified xsi:type="dcterms:W3CDTF">2020-04-21T01:36:42Z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