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16V\Desktop\Especialización\Trabajo Grado\"/>
    </mc:Choice>
  </mc:AlternateContent>
  <xr:revisionPtr revIDLastSave="0" documentId="8_{3992B6C9-4B6B-4444-BD01-81B2FA7EE7D3}" xr6:coauthVersionLast="34" xr6:coauthVersionMax="34" xr10:uidLastSave="{00000000-0000-0000-0000-000000000000}"/>
  <bookViews>
    <workbookView xWindow="0" yWindow="0" windowWidth="20490" windowHeight="7230" activeTab="1" xr2:uid="{00000000-000D-0000-FFFF-FFFF00000000}"/>
  </bookViews>
  <sheets>
    <sheet name="Flujo de Caja" sheetId="1" r:id="rId1"/>
    <sheet name="Datos" sheetId="2" r:id="rId2"/>
    <sheet name="Hoja3" sheetId="3" state="hidden" r:id="rId3"/>
  </sheets>
  <calcPr calcId="179021"/>
</workbook>
</file>

<file path=xl/calcChain.xml><?xml version="1.0" encoding="utf-8"?>
<calcChain xmlns="http://schemas.openxmlformats.org/spreadsheetml/2006/main">
  <c r="B34" i="2" l="1"/>
  <c r="L19" i="2"/>
  <c r="M19" i="2"/>
  <c r="K19" i="2"/>
  <c r="E30" i="1" l="1"/>
  <c r="I13" i="3"/>
  <c r="I14" i="3"/>
  <c r="I15" i="3"/>
  <c r="I17" i="3"/>
  <c r="C19" i="2"/>
  <c r="F12" i="1" s="1"/>
  <c r="I18" i="2"/>
  <c r="B19" i="2"/>
  <c r="B20" i="2"/>
  <c r="B21" i="2"/>
  <c r="B22" i="2"/>
  <c r="B23" i="2"/>
  <c r="H12" i="2"/>
  <c r="J35" i="1"/>
  <c r="E28" i="1"/>
  <c r="E27" i="1" s="1"/>
  <c r="G17" i="1"/>
  <c r="H17" i="1"/>
  <c r="I17" i="1"/>
  <c r="J17" i="1"/>
  <c r="F17" i="1"/>
  <c r="M6" i="1"/>
  <c r="G14" i="1"/>
  <c r="H14" i="1"/>
  <c r="I14" i="1"/>
  <c r="J14" i="1"/>
  <c r="F14" i="1"/>
  <c r="F26" i="1"/>
  <c r="G26" i="1"/>
  <c r="E29" i="1" l="1"/>
  <c r="H43" i="1"/>
  <c r="D19" i="2"/>
  <c r="E19" i="2" s="1"/>
  <c r="F13" i="1"/>
  <c r="F38" i="1" l="1"/>
  <c r="C20" i="2"/>
  <c r="G12" i="1" l="1"/>
  <c r="D20" i="2"/>
  <c r="G38" i="1" l="1"/>
  <c r="E20" i="2"/>
  <c r="C21" i="2" l="1"/>
  <c r="L2" i="2"/>
  <c r="D7" i="2"/>
  <c r="G6" i="2"/>
  <c r="D6" i="2"/>
  <c r="D5" i="2"/>
  <c r="D4" i="2"/>
  <c r="D3" i="2"/>
  <c r="G11" i="2" s="1"/>
  <c r="D2" i="2"/>
  <c r="G10" i="2" s="1"/>
  <c r="F1" i="1" l="1"/>
  <c r="E34" i="1"/>
  <c r="E26" i="1" s="1"/>
  <c r="D21" i="2"/>
  <c r="H12" i="1"/>
  <c r="K3" i="2"/>
  <c r="K4" i="2" s="1"/>
  <c r="K5" i="2" s="1"/>
  <c r="K6" i="2" s="1"/>
  <c r="B13" i="2"/>
  <c r="F10" i="1" s="1"/>
  <c r="F7" i="1"/>
  <c r="F11" i="1"/>
  <c r="F9" i="1"/>
  <c r="G10" i="1"/>
  <c r="I7" i="3"/>
  <c r="I8" i="3"/>
  <c r="I9" i="3"/>
  <c r="I10" i="3"/>
  <c r="I11" i="3"/>
  <c r="I12" i="3"/>
  <c r="L4" i="2" l="1"/>
  <c r="H1" i="1" s="1"/>
  <c r="H9" i="1" s="1"/>
  <c r="J10" i="1"/>
  <c r="H38" i="1"/>
  <c r="E21" i="2"/>
  <c r="I16" i="3"/>
  <c r="K9" i="3"/>
  <c r="L3" i="2"/>
  <c r="F8" i="1"/>
  <c r="I10" i="1"/>
  <c r="H10" i="1"/>
  <c r="L5" i="2"/>
  <c r="I1" i="1" s="1"/>
  <c r="I11" i="1" s="1"/>
  <c r="L6" i="2"/>
  <c r="J1" i="1" s="1"/>
  <c r="J11" i="1" s="1"/>
  <c r="G24" i="1"/>
  <c r="H24" i="1"/>
  <c r="I24" i="1"/>
  <c r="J24" i="1"/>
  <c r="F24" i="1"/>
  <c r="G25" i="1"/>
  <c r="H25" i="1"/>
  <c r="I25" i="1"/>
  <c r="J25" i="1"/>
  <c r="F25" i="1"/>
  <c r="H7" i="1"/>
  <c r="H6" i="1" s="1"/>
  <c r="G1" i="1" l="1"/>
  <c r="G11" i="1" s="1"/>
  <c r="L7" i="2"/>
  <c r="M7" i="2" s="1"/>
  <c r="H11" i="1"/>
  <c r="C22" i="2"/>
  <c r="G9" i="1"/>
  <c r="G8" i="1" s="1"/>
  <c r="G7" i="1"/>
  <c r="G6" i="1" s="1"/>
  <c r="H8" i="1"/>
  <c r="I23" i="1"/>
  <c r="H23" i="1"/>
  <c r="F23" i="1"/>
  <c r="G23" i="1"/>
  <c r="J23" i="1"/>
  <c r="I7" i="1"/>
  <c r="I6" i="1" s="1"/>
  <c r="I9" i="1"/>
  <c r="J7" i="1"/>
  <c r="J6" i="1" s="1"/>
  <c r="J9" i="1"/>
  <c r="G13" i="1"/>
  <c r="H13" i="1"/>
  <c r="I13" i="1"/>
  <c r="J13" i="1"/>
  <c r="F6" i="1"/>
  <c r="G20" i="1" l="1"/>
  <c r="G21" i="1" s="1"/>
  <c r="G22" i="1" s="1"/>
  <c r="D22" i="2"/>
  <c r="I12" i="1"/>
  <c r="I8" i="1" s="1"/>
  <c r="H20" i="1"/>
  <c r="H21" i="1" s="1"/>
  <c r="H22" i="1" s="1"/>
  <c r="H39" i="1" s="1"/>
  <c r="F51" i="1" s="1"/>
  <c r="G51" i="1" s="1"/>
  <c r="F20" i="1"/>
  <c r="I38" i="1" l="1"/>
  <c r="E22" i="2"/>
  <c r="F21" i="1"/>
  <c r="F22" i="1" s="1"/>
  <c r="F39" i="1" s="1"/>
  <c r="F49" i="1" s="1"/>
  <c r="G49" i="1" s="1"/>
  <c r="H49" i="1" s="1"/>
  <c r="H50" i="1" s="1"/>
  <c r="H51" i="1" s="1"/>
  <c r="I20" i="1"/>
  <c r="I21" i="1" s="1"/>
  <c r="I22" i="1" s="1"/>
  <c r="I39" i="1" s="1"/>
  <c r="F52" i="1" s="1"/>
  <c r="G52" i="1" s="1"/>
  <c r="E39" i="1"/>
  <c r="F48" i="1" s="1"/>
  <c r="G39" i="1"/>
  <c r="F50" i="1" s="1"/>
  <c r="G50" i="1" s="1"/>
  <c r="H52" i="1" l="1"/>
  <c r="G60" i="1"/>
  <c r="G48" i="1"/>
  <c r="C23" i="2"/>
  <c r="D23" i="2" l="1"/>
  <c r="J12" i="1"/>
  <c r="J8" i="1" s="1"/>
  <c r="J20" i="1" s="1"/>
  <c r="J21" i="1" s="1"/>
  <c r="J22" i="1" s="1"/>
  <c r="J39" i="1" s="1"/>
  <c r="F53" i="1" s="1"/>
  <c r="G53" i="1" l="1"/>
  <c r="G57" i="1"/>
  <c r="G58" i="1"/>
  <c r="J38" i="1"/>
  <c r="E23" i="2"/>
  <c r="G55" i="1" l="1"/>
  <c r="G59" i="1"/>
  <c r="H53" i="1"/>
</calcChain>
</file>

<file path=xl/sharedStrings.xml><?xml version="1.0" encoding="utf-8"?>
<sst xmlns="http://schemas.openxmlformats.org/spreadsheetml/2006/main" count="116" uniqueCount="96">
  <si>
    <t>Amortización de intangibles</t>
  </si>
  <si>
    <t>BENEFICIOS NO AFECTOS DE IMPUESTOS</t>
  </si>
  <si>
    <t>Recuperación de capital de Trabajo</t>
  </si>
  <si>
    <t>Valor de Salvamento</t>
  </si>
  <si>
    <t>FLUJO DE CAJA</t>
  </si>
  <si>
    <t>AÑOS</t>
  </si>
  <si>
    <t>Ingreso por Venta de Producto</t>
  </si>
  <si>
    <t>EGRESOS AFECTOS A IMPUESTOS</t>
  </si>
  <si>
    <t>INGRESOS AFECTOS A IMPUESTOS</t>
  </si>
  <si>
    <t>Gastos de Ventas</t>
  </si>
  <si>
    <t>GASTOS NO DESEMBOLSABLES</t>
  </si>
  <si>
    <t>Maquinaria</t>
  </si>
  <si>
    <t>Gastos de Organización</t>
  </si>
  <si>
    <t>Base de Datos</t>
  </si>
  <si>
    <t>Est, de Prefactibilidad</t>
  </si>
  <si>
    <t>UTILIDAD ANTES DE IMPUESTOS</t>
  </si>
  <si>
    <t>IMPUESTOS 33%</t>
  </si>
  <si>
    <t>UTILIDAD DESPUÉS DE IMPUESTOS</t>
  </si>
  <si>
    <t>AJUSTES POR GASTOS NO DESEMBOLSABLES</t>
  </si>
  <si>
    <t>Depreciación</t>
  </si>
  <si>
    <t>EGRESOS NO AFECTOS A IMPUESTOS</t>
  </si>
  <si>
    <t>Inversión Tangible</t>
  </si>
  <si>
    <t>Inversión intangible</t>
  </si>
  <si>
    <t>Est. De prefactibilidad</t>
  </si>
  <si>
    <t>Capital de Trabajo</t>
  </si>
  <si>
    <t>Demanda</t>
  </si>
  <si>
    <t xml:space="preserve">Precio de Venta </t>
  </si>
  <si>
    <t>Año 1</t>
  </si>
  <si>
    <t>Año 2</t>
  </si>
  <si>
    <t>Año 3</t>
  </si>
  <si>
    <t>año 4</t>
  </si>
  <si>
    <t>Año 5</t>
  </si>
  <si>
    <t>Costos</t>
  </si>
  <si>
    <t>Año 4</t>
  </si>
  <si>
    <t>gastos de Venta</t>
  </si>
  <si>
    <t xml:space="preserve">Depreciación </t>
  </si>
  <si>
    <t>Año</t>
  </si>
  <si>
    <t>Flujo de efectivo</t>
  </si>
  <si>
    <t>Valor presente</t>
  </si>
  <si>
    <t>VALOR PRESENTE NETO</t>
  </si>
  <si>
    <t>Operaciones VPN</t>
  </si>
  <si>
    <t>VPN</t>
  </si>
  <si>
    <t>TIR</t>
  </si>
  <si>
    <t>Costos de importación</t>
  </si>
  <si>
    <t>computadores</t>
  </si>
  <si>
    <t>costos deproducción</t>
  </si>
  <si>
    <t>costos fijos</t>
  </si>
  <si>
    <t>Arriendo</t>
  </si>
  <si>
    <t>depreciación por año</t>
  </si>
  <si>
    <t>Datáfono</t>
  </si>
  <si>
    <t>cuota</t>
  </si>
  <si>
    <t>Interés</t>
  </si>
  <si>
    <t>Amortización</t>
  </si>
  <si>
    <t>Saldo</t>
  </si>
  <si>
    <t>Tasa</t>
  </si>
  <si>
    <t>Intereses Financieros</t>
  </si>
  <si>
    <t>Prestamo Bancario</t>
  </si>
  <si>
    <t>datáfono</t>
  </si>
  <si>
    <t>tasa</t>
  </si>
  <si>
    <t>TIR&gt; tasa de oportunidad</t>
  </si>
  <si>
    <t>se realiza proyecto</t>
  </si>
  <si>
    <t>Valor de compra cuadros</t>
  </si>
  <si>
    <t>Ítem</t>
  </si>
  <si>
    <t>Precio total</t>
  </si>
  <si>
    <t>Precio unitario</t>
  </si>
  <si>
    <t>Cantidad</t>
  </si>
  <si>
    <t>Computadores</t>
  </si>
  <si>
    <t>Datafono</t>
  </si>
  <si>
    <t>Salarios</t>
  </si>
  <si>
    <t>Ventas Mensuales</t>
  </si>
  <si>
    <t>Crecimiento del mercado</t>
  </si>
  <si>
    <t>Ventas anuales</t>
  </si>
  <si>
    <t>Valor</t>
  </si>
  <si>
    <t>Costos envío por unidad</t>
  </si>
  <si>
    <t>Internet</t>
  </si>
  <si>
    <t>UBICACIÓN</t>
  </si>
  <si>
    <t>PERSONAS</t>
  </si>
  <si>
    <t>VIVIENDAS</t>
  </si>
  <si>
    <t>PERSONAS POR VIVIENDA</t>
  </si>
  <si>
    <t>Usaquén</t>
  </si>
  <si>
    <t>Chapinero</t>
  </si>
  <si>
    <t>Calera</t>
  </si>
  <si>
    <t>Chía</t>
  </si>
  <si>
    <t>Cota</t>
  </si>
  <si>
    <t>Total</t>
  </si>
  <si>
    <t>Precio</t>
  </si>
  <si>
    <t>Venta</t>
  </si>
  <si>
    <t>Compra</t>
  </si>
  <si>
    <t>Envío</t>
  </si>
  <si>
    <t>Equipos</t>
  </si>
  <si>
    <t>Est. De Factibilidad</t>
  </si>
  <si>
    <t>Abono al capital</t>
  </si>
  <si>
    <t>B/C</t>
  </si>
  <si>
    <t>Payback</t>
  </si>
  <si>
    <t>Indicador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</si>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</sst>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&quot;$&quot;#,##0;[Red]\-&quot;$&quot;#,##0"/>
    <numFmt numFmtId="166" formatCode="&quot;$&quot;\ #,##0"/>
    <numFmt numFmtId="167" formatCode="&quot;$&quot;#,##0"/>
    <numFmt numFmtId="168" formatCode="_-[$$-409]* #,##0_ ;_-[$$-409]* \-#,##0\ ;_-[$$-409]* &quot;-&quot;_ ;_-@_ "/>
    <numFmt numFmtId="169" formatCode="_-&quot;$&quot;\ * #,##0.00_-;\-&quot;$&quot;\ * #,##0.00_-;_-&quot;$&quot;\ * &quot;-&quot;_-;_-@_-"/>
    <numFmt numFmtId="170" formatCode="_(&quot;$&quot;\ * #,##0_);_(&quot;$&quot;\ * \(#,##0\);_(&quot;$&quot;\ * &quot;-&quot;??_);_(@_)"/>
    <numFmt numFmtId="171" formatCode="0.0"/>
    <numFmt numFmtId="172" formatCode="&quot;$&quot;\ #,##0.000"/>
    <numFmt numFmtId="173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0" xfId="0" applyNumberFormat="1"/>
    <xf numFmtId="8" fontId="0" fillId="0" borderId="0" xfId="0" applyNumberFormat="1"/>
    <xf numFmtId="168" fontId="0" fillId="0" borderId="8" xfId="0" applyNumberFormat="1" applyBorder="1" applyAlignment="1">
      <alignment horizontal="center" vertical="center"/>
    </xf>
    <xf numFmtId="8" fontId="0" fillId="0" borderId="8" xfId="0" applyNumberFormat="1" applyBorder="1"/>
    <xf numFmtId="169" fontId="3" fillId="3" borderId="8" xfId="1" applyNumberFormat="1" applyFont="1" applyFill="1" applyBorder="1" applyAlignment="1">
      <alignment horizontal="center" vertical="center"/>
    </xf>
    <xf numFmtId="10" fontId="3" fillId="3" borderId="8" xfId="2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8" fontId="0" fillId="4" borderId="8" xfId="0" applyNumberFormat="1" applyFill="1" applyBorder="1" applyAlignment="1">
      <alignment horizontal="center" vertical="center"/>
    </xf>
    <xf numFmtId="8" fontId="0" fillId="4" borderId="8" xfId="0" applyNumberFormat="1" applyFill="1" applyBorder="1"/>
    <xf numFmtId="165" fontId="5" fillId="0" borderId="3" xfId="0" applyNumberFormat="1" applyFont="1" applyBorder="1"/>
    <xf numFmtId="0" fontId="5" fillId="0" borderId="0" xfId="0" applyFont="1"/>
    <xf numFmtId="166" fontId="5" fillId="0" borderId="0" xfId="0" applyNumberFormat="1" applyFont="1"/>
    <xf numFmtId="0" fontId="5" fillId="0" borderId="0" xfId="0" applyNumberFormat="1" applyFont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166" fontId="5" fillId="0" borderId="0" xfId="0" applyNumberFormat="1" applyFont="1" applyAlignment="1"/>
    <xf numFmtId="166" fontId="5" fillId="0" borderId="0" xfId="0" applyNumberFormat="1" applyFont="1" applyAlignment="1">
      <alignment horizontal="center"/>
    </xf>
    <xf numFmtId="0" fontId="6" fillId="2" borderId="9" xfId="0" applyFont="1" applyFill="1" applyBorder="1"/>
    <xf numFmtId="166" fontId="5" fillId="2" borderId="9" xfId="0" applyNumberFormat="1" applyFont="1" applyFill="1" applyBorder="1"/>
    <xf numFmtId="167" fontId="6" fillId="2" borderId="9" xfId="0" applyNumberFormat="1" applyFont="1" applyFill="1" applyBorder="1"/>
    <xf numFmtId="0" fontId="5" fillId="0" borderId="0" xfId="0" applyFont="1" applyBorder="1" applyAlignment="1">
      <alignment horizontal="right"/>
    </xf>
    <xf numFmtId="166" fontId="5" fillId="0" borderId="0" xfId="0" applyNumberFormat="1" applyFont="1" applyBorder="1"/>
    <xf numFmtId="9" fontId="5" fillId="0" borderId="0" xfId="0" applyNumberFormat="1" applyFont="1" applyBorder="1"/>
    <xf numFmtId="0" fontId="6" fillId="2" borderId="11" xfId="0" applyFont="1" applyFill="1" applyBorder="1"/>
    <xf numFmtId="166" fontId="5" fillId="2" borderId="11" xfId="0" applyNumberFormat="1" applyFont="1" applyFill="1" applyBorder="1"/>
    <xf numFmtId="167" fontId="6" fillId="2" borderId="11" xfId="0" applyNumberFormat="1" applyFont="1" applyFill="1" applyBorder="1"/>
    <xf numFmtId="0" fontId="5" fillId="0" borderId="8" xfId="0" applyFont="1" applyBorder="1" applyAlignment="1">
      <alignment horizontal="right"/>
    </xf>
    <xf numFmtId="166" fontId="5" fillId="0" borderId="8" xfId="0" applyNumberFormat="1" applyFont="1" applyBorder="1"/>
    <xf numFmtId="166" fontId="5" fillId="0" borderId="8" xfId="0" applyNumberFormat="1" applyFont="1" applyFill="1" applyBorder="1"/>
    <xf numFmtId="0" fontId="5" fillId="0" borderId="6" xfId="0" applyFont="1" applyBorder="1"/>
    <xf numFmtId="9" fontId="5" fillId="0" borderId="7" xfId="0" applyNumberFormat="1" applyFont="1" applyBorder="1"/>
    <xf numFmtId="0" fontId="5" fillId="0" borderId="8" xfId="0" applyFont="1" applyFill="1" applyBorder="1" applyAlignment="1">
      <alignment horizontal="right"/>
    </xf>
    <xf numFmtId="0" fontId="6" fillId="2" borderId="12" xfId="0" applyFont="1" applyFill="1" applyBorder="1"/>
    <xf numFmtId="166" fontId="5" fillId="2" borderId="10" xfId="0" applyNumberFormat="1" applyFont="1" applyFill="1" applyBorder="1"/>
    <xf numFmtId="167" fontId="6" fillId="2" borderId="10" xfId="0" applyNumberFormat="1" applyFont="1" applyFill="1" applyBorder="1" applyAlignment="1">
      <alignment horizontal="left"/>
    </xf>
    <xf numFmtId="167" fontId="6" fillId="2" borderId="13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166" fontId="5" fillId="0" borderId="10" xfId="0" applyNumberFormat="1" applyFont="1" applyFill="1" applyBorder="1"/>
    <xf numFmtId="0" fontId="6" fillId="2" borderId="10" xfId="0" applyFont="1" applyFill="1" applyBorder="1"/>
    <xf numFmtId="166" fontId="6" fillId="2" borderId="10" xfId="0" applyNumberFormat="1" applyFont="1" applyFill="1" applyBorder="1"/>
    <xf numFmtId="0" fontId="5" fillId="0" borderId="8" xfId="0" applyFont="1" applyBorder="1"/>
    <xf numFmtId="0" fontId="6" fillId="2" borderId="8" xfId="0" applyFont="1" applyFill="1" applyBorder="1"/>
    <xf numFmtId="166" fontId="6" fillId="2" borderId="8" xfId="0" applyNumberFormat="1" applyFont="1" applyFill="1" applyBorder="1"/>
    <xf numFmtId="0" fontId="5" fillId="0" borderId="8" xfId="0" applyFont="1" applyFill="1" applyBorder="1"/>
    <xf numFmtId="166" fontId="6" fillId="0" borderId="8" xfId="0" applyNumberFormat="1" applyFont="1" applyFill="1" applyBorder="1" applyAlignment="1">
      <alignment horizontal="right"/>
    </xf>
    <xf numFmtId="166" fontId="6" fillId="2" borderId="8" xfId="0" applyNumberFormat="1" applyFont="1" applyFill="1" applyBorder="1" applyAlignment="1">
      <alignment horizontal="center"/>
    </xf>
    <xf numFmtId="166" fontId="5" fillId="2" borderId="8" xfId="0" applyNumberFormat="1" applyFont="1" applyFill="1" applyBorder="1"/>
    <xf numFmtId="0" fontId="6" fillId="0" borderId="8" xfId="0" applyFont="1" applyBorder="1"/>
    <xf numFmtId="166" fontId="6" fillId="0" borderId="8" xfId="0" applyNumberFormat="1" applyFont="1" applyBorder="1"/>
    <xf numFmtId="9" fontId="5" fillId="0" borderId="0" xfId="2" applyFont="1"/>
    <xf numFmtId="0" fontId="7" fillId="6" borderId="0" xfId="0" applyFont="1" applyFill="1" applyAlignment="1">
      <alignment horizontal="center"/>
    </xf>
    <xf numFmtId="170" fontId="7" fillId="6" borderId="0" xfId="3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70" fontId="5" fillId="0" borderId="0" xfId="3" applyNumberFormat="1" applyFont="1"/>
    <xf numFmtId="0" fontId="8" fillId="6" borderId="17" xfId="0" applyFont="1" applyFill="1" applyBorder="1" applyAlignment="1">
      <alignment horizontal="center"/>
    </xf>
    <xf numFmtId="0" fontId="5" fillId="5" borderId="0" xfId="0" applyFont="1" applyFill="1"/>
    <xf numFmtId="170" fontId="5" fillId="5" borderId="0" xfId="3" applyNumberFormat="1" applyFont="1" applyFill="1"/>
    <xf numFmtId="0" fontId="5" fillId="0" borderId="7" xfId="0" applyFont="1" applyBorder="1"/>
    <xf numFmtId="170" fontId="5" fillId="0" borderId="7" xfId="3" applyNumberFormat="1" applyFont="1" applyBorder="1"/>
    <xf numFmtId="170" fontId="8" fillId="6" borderId="17" xfId="3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18" xfId="0" applyFont="1" applyBorder="1" applyAlignment="1">
      <alignment horizontal="center"/>
    </xf>
    <xf numFmtId="170" fontId="5" fillId="0" borderId="18" xfId="3" applyNumberFormat="1" applyFont="1" applyBorder="1"/>
    <xf numFmtId="0" fontId="0" fillId="0" borderId="0" xfId="0" applyAlignment="1">
      <alignment vertical="center"/>
    </xf>
    <xf numFmtId="0" fontId="5" fillId="5" borderId="19" xfId="0" applyFont="1" applyFill="1" applyBorder="1" applyAlignment="1">
      <alignment horizontal="center"/>
    </xf>
    <xf numFmtId="170" fontId="5" fillId="5" borderId="19" xfId="3" applyNumberFormat="1" applyFont="1" applyFill="1" applyBorder="1"/>
    <xf numFmtId="0" fontId="6" fillId="0" borderId="18" xfId="0" applyFont="1" applyBorder="1" applyAlignment="1">
      <alignment horizontal="center"/>
    </xf>
    <xf numFmtId="0" fontId="5" fillId="5" borderId="0" xfId="4" applyNumberFormat="1" applyFont="1" applyFill="1" applyAlignment="1">
      <alignment horizontal="center"/>
    </xf>
    <xf numFmtId="0" fontId="5" fillId="0" borderId="0" xfId="4" applyNumberFormat="1" applyFont="1" applyAlignment="1">
      <alignment horizontal="center"/>
    </xf>
    <xf numFmtId="0" fontId="5" fillId="5" borderId="19" xfId="4" applyNumberFormat="1" applyFont="1" applyFill="1" applyBorder="1" applyAlignment="1">
      <alignment horizontal="center"/>
    </xf>
    <xf numFmtId="3" fontId="5" fillId="5" borderId="0" xfId="4" applyNumberFormat="1" applyFont="1" applyFill="1" applyAlignment="1">
      <alignment horizontal="center"/>
    </xf>
    <xf numFmtId="3" fontId="5" fillId="0" borderId="0" xfId="4" applyNumberFormat="1" applyFont="1" applyAlignment="1">
      <alignment horizontal="center"/>
    </xf>
    <xf numFmtId="3" fontId="5" fillId="5" borderId="19" xfId="4" applyNumberFormat="1" applyFont="1" applyFill="1" applyBorder="1" applyAlignment="1">
      <alignment horizontal="center"/>
    </xf>
    <xf numFmtId="0" fontId="6" fillId="0" borderId="18" xfId="4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7" xfId="0" applyFont="1" applyFill="1" applyBorder="1"/>
    <xf numFmtId="42" fontId="5" fillId="5" borderId="0" xfId="1" applyFont="1" applyFill="1" applyAlignment="1">
      <alignment horizontal="center"/>
    </xf>
    <xf numFmtId="42" fontId="5" fillId="0" borderId="0" xfId="1" applyFont="1" applyAlignment="1">
      <alignment horizontal="center"/>
    </xf>
    <xf numFmtId="42" fontId="5" fillId="5" borderId="7" xfId="1" applyFont="1" applyFill="1" applyBorder="1" applyAlignment="1">
      <alignment horizontal="center"/>
    </xf>
    <xf numFmtId="172" fontId="5" fillId="0" borderId="0" xfId="0" applyNumberFormat="1" applyFont="1"/>
    <xf numFmtId="0" fontId="5" fillId="5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7" xfId="0" applyFont="1" applyBorder="1"/>
    <xf numFmtId="170" fontId="6" fillId="0" borderId="7" xfId="3" applyNumberFormat="1" applyFont="1" applyBorder="1"/>
    <xf numFmtId="0" fontId="5" fillId="5" borderId="19" xfId="0" applyFont="1" applyFill="1" applyBorder="1" applyAlignment="1">
      <alignment horizontal="left"/>
    </xf>
    <xf numFmtId="42" fontId="5" fillId="5" borderId="0" xfId="1" applyFont="1" applyFill="1"/>
    <xf numFmtId="3" fontId="5" fillId="4" borderId="20" xfId="0" applyNumberFormat="1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166" fontId="5" fillId="7" borderId="15" xfId="0" applyNumberFormat="1" applyFont="1" applyFill="1" applyBorder="1" applyAlignment="1">
      <alignment horizontal="center"/>
    </xf>
    <xf numFmtId="166" fontId="6" fillId="7" borderId="15" xfId="0" applyNumberFormat="1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166" fontId="5" fillId="7" borderId="11" xfId="0" applyNumberFormat="1" applyFont="1" applyFill="1" applyBorder="1" applyAlignment="1">
      <alignment horizontal="center"/>
    </xf>
    <xf numFmtId="166" fontId="6" fillId="7" borderId="11" xfId="0" applyNumberFormat="1" applyFont="1" applyFill="1" applyBorder="1" applyAlignment="1">
      <alignment horizontal="center"/>
    </xf>
    <xf numFmtId="166" fontId="7" fillId="4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73" fontId="5" fillId="0" borderId="0" xfId="2" applyNumberFormat="1" applyFont="1" applyAlignment="1">
      <alignment horizontal="center"/>
    </xf>
    <xf numFmtId="171" fontId="5" fillId="5" borderId="0" xfId="4" applyNumberFormat="1" applyFont="1" applyFill="1" applyAlignment="1">
      <alignment horizontal="center"/>
    </xf>
    <xf numFmtId="171" fontId="5" fillId="0" borderId="7" xfId="4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3" applyFont="1"/>
  </cellXfs>
  <cellStyles count="5">
    <cellStyle name="Millares [0]" xfId="4" builtinId="6"/>
    <cellStyle name="Moneda" xfId="3" builtinId="4"/>
    <cellStyle name="Moneda [0]" xfId="1" builtinId="7"/>
    <cellStyle name="Normal" xfId="0" builtinId="0"/>
    <cellStyle name="Porcentaje" xfId="2" builtinId="5"/>
  </cellStyles>
  <dxfs count="23">
    <dxf>
      <numFmt numFmtId="12" formatCode="&quot;$&quot;\ #,##0.00;[Red]\-&quot;$&quot;\ 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_-[$$-409]* #,##0_ ;_-[$$-409]* \-#,##0\ ;_-[$$-409]* &quot;-&quot;_ ;_-@_ 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70" formatCode="_(&quot;$&quot;\ * #,##0_);_(&quot;$&quot;\ * \(#,##0\);_(&quot;$&quot;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70" formatCode="_(&quot;$&quot;\ * #,##0_);_(&quot;$&quot;\ * \(#,##0\);_(&quot;$&quot;\ * &quot;-&quot;??_);_(@_)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solid">
          <fgColor indexed="64"/>
          <bgColor rgb="FFFFFF66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6" formatCode="&quot;$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66" formatCode="&quot;$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6" formatCode="&quot;$&quot;\ 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'Flujo de Caja'!$D$39</c:f>
              <c:strCache>
                <c:ptCount val="1"/>
                <c:pt idx="0">
                  <c:v>FLUJO DE CAJA</c:v>
                </c:pt>
              </c:strCache>
            </c:strRef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'Flujo de Caja'!$E$39:$J$39</c:f>
              <c:numCache>
                <c:formatCode>"$"\ #,##0</c:formatCode>
                <c:ptCount val="6"/>
                <c:pt idx="0">
                  <c:v>-16950000</c:v>
                </c:pt>
                <c:pt idx="1">
                  <c:v>2107000</c:v>
                </c:pt>
                <c:pt idx="2">
                  <c:v>3982144.561046544</c:v>
                </c:pt>
                <c:pt idx="3">
                  <c:v>6190692.4904070441</c:v>
                </c:pt>
                <c:pt idx="4">
                  <c:v>8832664.7985757068</c:v>
                </c:pt>
                <c:pt idx="5">
                  <c:v>14888088.799194964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F-44C1-ACB8-C1E1A193E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89181568"/>
        <c:axId val="90059904"/>
      </c:barChart>
      <c:catAx>
        <c:axId val="891815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9904"/>
        <c:crosses val="autoZero"/>
        <c:auto val="1"/>
        <c:lblAlgn val="ctr"/>
        <c:lblOffset val="100"/>
        <c:noMultiLvlLbl val="0"/>
      </c:catAx>
      <c:valAx>
        <c:axId val="90059904"/>
        <c:scaling>
          <c:orientation val="minMax"/>
          <c:max val="90000000"/>
          <c:min val="-930000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918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Hoja3!$H$6</c:f>
              <c:strCache>
                <c:ptCount val="1"/>
                <c:pt idx="0">
                  <c:v>Flujo de efectivo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7.9840686002828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A7-44CD-AE06-44FC4BA5BC6C}"/>
                </c:ext>
              </c:extLst>
            </c:dLbl>
            <c:dLbl>
              <c:idx val="1"/>
              <c:layout>
                <c:manualLayout>
                  <c:x val="4.8484848484848485E-3"/>
                  <c:y val="2.0050431697100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A7-44CD-AE06-44FC4BA5BC6C}"/>
                </c:ext>
              </c:extLst>
            </c:dLbl>
            <c:dLbl>
              <c:idx val="2"/>
              <c:layout>
                <c:manualLayout>
                  <c:x val="0"/>
                  <c:y val="2.8094673761645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A7-44CD-AE06-44FC4BA5BC6C}"/>
                </c:ext>
              </c:extLst>
            </c:dLbl>
            <c:dLbl>
              <c:idx val="3"/>
              <c:layout>
                <c:manualLayout>
                  <c:x val="-8.8887862048721399E-17"/>
                  <c:y val="7.9840686002828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A7-44CD-AE06-44FC4BA5BC6C}"/>
                </c:ext>
              </c:extLst>
            </c:dLbl>
            <c:dLbl>
              <c:idx val="4"/>
              <c:layout>
                <c:manualLayout>
                  <c:x val="-8.8887862048721399E-17"/>
                  <c:y val="3.9619475680101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A7-44CD-AE06-44FC4BA5BC6C}"/>
                </c:ext>
              </c:extLst>
            </c:dLbl>
            <c:dLbl>
              <c:idx val="5"/>
              <c:layout>
                <c:manualLayout>
                  <c:x val="0"/>
                  <c:y val="1.20061896325554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A7-44CD-AE06-44FC4BA5BC6C}"/>
                </c:ext>
              </c:extLst>
            </c:dLbl>
            <c:dLbl>
              <c:idx val="6"/>
              <c:layout>
                <c:manualLayout>
                  <c:x val="-8.8887862048721399E-17"/>
                  <c:y val="1.20061896325554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A7-44CD-AE06-44FC4BA5BC6C}"/>
                </c:ext>
              </c:extLst>
            </c:dLbl>
            <c:dLbl>
              <c:idx val="7"/>
              <c:layout>
                <c:manualLayout>
                  <c:x val="0"/>
                  <c:y val="7.984068600282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A7-44CD-AE06-44FC4BA5BC6C}"/>
                </c:ext>
              </c:extLst>
            </c:dLbl>
            <c:dLbl>
              <c:idx val="8"/>
              <c:layout>
                <c:manualLayout>
                  <c:x val="0"/>
                  <c:y val="7.984068600282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A7-44CD-AE06-44FC4BA5BC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Hoja3!$G$7:$G$15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Hoja3!$H$7:$H$15</c:f>
              <c:numCache>
                <c:formatCode>_-[$$-409]* #,##0_ ;_-[$$-409]* \-#,##0\ ;_-[$$-409]* "-"_ ;_-@_ </c:formatCode>
                <c:ptCount val="9"/>
                <c:pt idx="0">
                  <c:v>-6765</c:v>
                </c:pt>
                <c:pt idx="1">
                  <c:v>2500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3750</c:v>
                </c:pt>
                <c:pt idx="6">
                  <c:v>3750</c:v>
                </c:pt>
                <c:pt idx="7">
                  <c:v>3750</c:v>
                </c:pt>
                <c:pt idx="8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7-44CD-AE06-44FC4BA5BC6C}"/>
            </c:ext>
          </c:extLst>
        </c:ser>
        <c:ser>
          <c:idx val="1"/>
          <c:order val="1"/>
          <c:tx>
            <c:strRef>
              <c:f>Hoja3!$I$6</c:f>
              <c:strCache>
                <c:ptCount val="1"/>
                <c:pt idx="0">
                  <c:v>Operaciones VPN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Hoja3!$G$7:$G$15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Hoja3!$I$7:$I$15</c:f>
              <c:numCache>
                <c:formatCode>"$"#,##0.00_);[Red]\("$"#,##0.00\)</c:formatCode>
                <c:ptCount val="9"/>
                <c:pt idx="0">
                  <c:v>-6765</c:v>
                </c:pt>
                <c:pt idx="1">
                  <c:v>2000</c:v>
                </c:pt>
                <c:pt idx="2">
                  <c:v>1600</c:v>
                </c:pt>
                <c:pt idx="3">
                  <c:v>1280</c:v>
                </c:pt>
                <c:pt idx="4">
                  <c:v>1024</c:v>
                </c:pt>
                <c:pt idx="5">
                  <c:v>1228.8</c:v>
                </c:pt>
                <c:pt idx="6">
                  <c:v>983.04</c:v>
                </c:pt>
                <c:pt idx="7">
                  <c:v>786.43200000000002</c:v>
                </c:pt>
                <c:pt idx="8">
                  <c:v>629.14559999999994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A7-44CD-AE06-44FC4BA5BC6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0205568"/>
        <c:axId val="90227840"/>
      </c:barChart>
      <c:catAx>
        <c:axId val="9020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227840"/>
        <c:crosses val="autoZero"/>
        <c:auto val="1"/>
        <c:lblAlgn val="ctr"/>
        <c:lblOffset val="100"/>
        <c:noMultiLvlLbl val="0"/>
      </c:catAx>
      <c:valAx>
        <c:axId val="9022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_ ;_-[$$-409]* \-#,##0\ ;_-[$$-409]* &quot;-&quot;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20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60</xdr:row>
      <xdr:rowOff>164420</xdr:rowOff>
    </xdr:from>
    <xdr:to>
      <xdr:col>5</xdr:col>
      <xdr:colOff>701675</xdr:colOff>
      <xdr:row>79</xdr:row>
      <xdr:rowOff>159658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16</xdr:row>
      <xdr:rowOff>152400</xdr:rowOff>
    </xdr:from>
    <xdr:to>
      <xdr:col>7</xdr:col>
      <xdr:colOff>447846</xdr:colOff>
      <xdr:row>23</xdr:row>
      <xdr:rowOff>57150</xdr:rowOff>
    </xdr:to>
    <xdr:pic>
      <xdr:nvPicPr>
        <xdr:cNvPr id="2" name="1 Imagen" descr="Imagen relacionad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1" t="7000" r="46462" b="30667"/>
        <a:stretch/>
      </xdr:blipFill>
      <xdr:spPr bwMode="auto">
        <a:xfrm>
          <a:off x="5172075" y="3200400"/>
          <a:ext cx="2331842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322087</xdr:colOff>
      <xdr:row>19</xdr:row>
      <xdr:rowOff>15698</xdr:rowOff>
    </xdr:from>
    <xdr:to>
      <xdr:col>15</xdr:col>
      <xdr:colOff>239184</xdr:colOff>
      <xdr:row>35</xdr:row>
      <xdr:rowOff>125237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3F9FDA7-4A8D-4D2B-8FFC-D1E912EB6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677C2A-74AA-41E6-8198-7E6E730C16F5}" name="Tabla3" displayName="Tabla3" ref="E47:G53" totalsRowShown="0" headerRowDxfId="22" dataDxfId="21">
  <tableColumns count="3">
    <tableColumn id="1" xr3:uid="{4C87A95B-61A9-4E2A-98B0-255415A2ED0C}" name="Año" dataDxfId="20"/>
    <tableColumn id="2" xr3:uid="{DB2AB4FF-945E-4826-91F2-13038D8FECCE}" name="Flujo de efectivo" dataDxfId="19"/>
    <tableColumn id="3" xr3:uid="{2CE1A626-742F-42F2-9C66-B4A83FAEC1C0}" name="Valor presente" dataDxfId="18">
      <calculatedColumnFormula>-PV($F$45,E48,0,F48)</calculatedColumn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:D7" totalsRowShown="0" headerRowDxfId="17" dataDxfId="16">
  <tableColumns count="4">
    <tableColumn id="1" xr3:uid="{00000000-0010-0000-0000-000001000000}" name="Ítem" dataDxfId="15"/>
    <tableColumn id="2" xr3:uid="{00000000-0010-0000-0000-000002000000}" name="Cantidad" dataDxfId="14"/>
    <tableColumn id="3" xr3:uid="{00000000-0010-0000-0000-000003000000}" name="Precio unitario" dataDxfId="13" dataCellStyle="Moneda"/>
    <tableColumn id="4" xr3:uid="{00000000-0010-0000-0000-000004000000}" name="Precio total" dataDxfId="12" dataCellStyle="Moneda">
      <calculatedColumnFormula>+C2*B2</calculatedColumnFormula>
    </tableColumn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J1:L6" totalsRowShown="0" headerRowDxfId="11" dataDxfId="10">
  <tableColumns count="3">
    <tableColumn id="1" xr3:uid="{00000000-0010-0000-0100-000001000000}" name="Crecimiento del mercado" dataDxfId="9"/>
    <tableColumn id="2" xr3:uid="{00000000-0010-0000-0100-000002000000}" name="Ventas Mensuales" dataDxfId="8">
      <calculatedColumnFormula>INT(K1*1.05)</calculatedColumnFormula>
    </tableColumn>
    <tableColumn id="3" xr3:uid="{00000000-0010-0000-0100-000003000000}" name="Ventas anuales" dataDxfId="7">
      <calculatedColumnFormula>+K2*12</calculatedColumnFormula>
    </tableColumn>
  </tableColumns>
  <tableStyleInfo name="TableStyleMedium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1" displayName="Tabla1" ref="G6:I15" totalsRowShown="0" headerRowDxfId="6" headerRowBorderDxfId="5" tableBorderDxfId="4" totalsRowBorderDxfId="3">
  <autoFilter ref="G6:I15" xr:uid="{00000000-0009-0000-0100-000001000000}"/>
  <tableColumns count="3">
    <tableColumn id="1" xr3:uid="{00000000-0010-0000-0200-000001000000}" name="Año" dataDxfId="2"/>
    <tableColumn id="2" xr3:uid="{00000000-0010-0000-0200-000002000000}" name="Flujo de efectivo" dataDxfId="1"/>
    <tableColumn id="3" xr3:uid="{00000000-0010-0000-0200-000003000000}" name="Operaciones VPN" dataDxfId="0">
      <calculatedColumnFormula>-PV($I$5,Tabla1[[#This Row],[Año]],0,Tabla1[[#This Row],[Flujo de efectivo]])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opLeftCell="D1" zoomScale="84" workbookViewId="0">
      <selection activeCell="C1" sqref="B1:C1048576"/>
    </sheetView>
  </sheetViews>
  <sheetFormatPr baseColWidth="10" defaultRowHeight="15.75" x14ac:dyDescent="0.25"/>
  <cols>
    <col min="1" max="1" width="0" style="14" hidden="1" customWidth="1"/>
    <col min="2" max="2" width="11.42578125" style="14" hidden="1" customWidth="1"/>
    <col min="3" max="3" width="23.85546875" style="14" hidden="1" customWidth="1"/>
    <col min="4" max="4" width="42.140625" style="14" customWidth="1"/>
    <col min="5" max="5" width="15.7109375" style="15" customWidth="1"/>
    <col min="6" max="6" width="18" style="15" customWidth="1"/>
    <col min="7" max="7" width="17" style="15" customWidth="1"/>
    <col min="8" max="10" width="15.7109375" style="15" customWidth="1"/>
    <col min="11" max="16384" width="11.42578125" style="14"/>
  </cols>
  <sheetData>
    <row r="1" spans="1:13" x14ac:dyDescent="0.25">
      <c r="A1" s="104" t="s">
        <v>26</v>
      </c>
      <c r="B1" s="105"/>
      <c r="C1" s="13">
        <v>300000</v>
      </c>
      <c r="D1" s="14" t="s">
        <v>25</v>
      </c>
      <c r="F1" s="16">
        <f>+Datos!L2</f>
        <v>240</v>
      </c>
      <c r="G1" s="16">
        <f>+Datos!L3</f>
        <v>252</v>
      </c>
      <c r="H1" s="16">
        <f>+Datos!L4</f>
        <v>264</v>
      </c>
      <c r="I1" s="16">
        <f>+Datos!L5</f>
        <v>276</v>
      </c>
      <c r="J1" s="16">
        <f>+Datos!L6</f>
        <v>288</v>
      </c>
    </row>
    <row r="2" spans="1:13" x14ac:dyDescent="0.25">
      <c r="A2" s="17" t="s">
        <v>27</v>
      </c>
      <c r="B2" s="18">
        <v>300000</v>
      </c>
      <c r="C2" s="19"/>
      <c r="F2" s="20"/>
      <c r="G2" s="20"/>
      <c r="H2" s="20"/>
      <c r="I2" s="20"/>
      <c r="J2" s="20"/>
    </row>
    <row r="3" spans="1:13" x14ac:dyDescent="0.25">
      <c r="A3" s="17" t="s">
        <v>28</v>
      </c>
      <c r="B3" s="18">
        <v>300000</v>
      </c>
      <c r="C3" s="19"/>
      <c r="F3" s="21"/>
      <c r="G3" s="21"/>
      <c r="H3" s="21"/>
      <c r="I3" s="21"/>
      <c r="J3" s="21"/>
    </row>
    <row r="4" spans="1:13" x14ac:dyDescent="0.25">
      <c r="A4" s="17" t="s">
        <v>29</v>
      </c>
      <c r="B4" s="18">
        <v>300000</v>
      </c>
      <c r="C4" s="19"/>
      <c r="E4" s="108" t="s">
        <v>5</v>
      </c>
      <c r="F4" s="108"/>
      <c r="G4" s="108"/>
      <c r="H4" s="108"/>
      <c r="I4" s="108"/>
      <c r="J4" s="108"/>
    </row>
    <row r="5" spans="1:13" x14ac:dyDescent="0.25">
      <c r="A5" s="17" t="s">
        <v>30</v>
      </c>
      <c r="B5" s="18">
        <v>300000</v>
      </c>
      <c r="C5" s="19"/>
      <c r="E5" s="92">
        <v>0</v>
      </c>
      <c r="F5" s="92">
        <v>1</v>
      </c>
      <c r="G5" s="92">
        <v>2</v>
      </c>
      <c r="H5" s="92">
        <v>3</v>
      </c>
      <c r="I5" s="92">
        <v>4</v>
      </c>
      <c r="J5" s="92">
        <v>5</v>
      </c>
    </row>
    <row r="6" spans="1:13" x14ac:dyDescent="0.25">
      <c r="A6" s="17" t="s">
        <v>31</v>
      </c>
      <c r="B6" s="18">
        <v>300000</v>
      </c>
      <c r="C6" s="18"/>
      <c r="D6" s="22" t="s">
        <v>8</v>
      </c>
      <c r="E6" s="23"/>
      <c r="F6" s="24">
        <f>+F7</f>
        <v>72000000</v>
      </c>
      <c r="G6" s="24">
        <f>+G7</f>
        <v>75600000</v>
      </c>
      <c r="H6" s="24">
        <f t="shared" ref="H6:J6" si="0">+H7</f>
        <v>79200000</v>
      </c>
      <c r="I6" s="24">
        <f t="shared" si="0"/>
        <v>82800000</v>
      </c>
      <c r="J6" s="24">
        <f t="shared" si="0"/>
        <v>86400000</v>
      </c>
      <c r="M6" s="14">
        <f>100000/(365*7)</f>
        <v>39.138943248532293</v>
      </c>
    </row>
    <row r="7" spans="1:13" x14ac:dyDescent="0.25">
      <c r="A7" s="106" t="s">
        <v>32</v>
      </c>
      <c r="B7" s="107"/>
      <c r="C7" s="18" t="s">
        <v>34</v>
      </c>
      <c r="D7" s="25" t="s">
        <v>6</v>
      </c>
      <c r="E7" s="26"/>
      <c r="F7" s="26">
        <f>+F1*B2</f>
        <v>72000000</v>
      </c>
      <c r="G7" s="26">
        <f>+G1*B3</f>
        <v>75600000</v>
      </c>
      <c r="H7" s="26">
        <f>+H1*B4</f>
        <v>79200000</v>
      </c>
      <c r="I7" s="26">
        <f>+I1*B5</f>
        <v>82800000</v>
      </c>
      <c r="J7" s="26">
        <f>+J1*B6</f>
        <v>86400000</v>
      </c>
    </row>
    <row r="8" spans="1:13" x14ac:dyDescent="0.25">
      <c r="A8" s="17" t="s">
        <v>28</v>
      </c>
      <c r="B8" s="27">
        <v>0.4</v>
      </c>
      <c r="C8" s="27">
        <v>0.3</v>
      </c>
      <c r="D8" s="28" t="s">
        <v>7</v>
      </c>
      <c r="E8" s="29"/>
      <c r="F8" s="30">
        <f>SUM(F9:F12)</f>
        <v>69200000</v>
      </c>
      <c r="G8" s="30">
        <f t="shared" ref="G8:J8" si="1">SUM(G9:G12)</f>
        <v>70001276.774557397</v>
      </c>
      <c r="H8" s="30">
        <f t="shared" si="1"/>
        <v>70304936.581482023</v>
      </c>
      <c r="I8" s="30">
        <f t="shared" si="1"/>
        <v>69961694.330484018</v>
      </c>
      <c r="J8" s="30">
        <f t="shared" si="1"/>
        <v>68777479.404186621</v>
      </c>
    </row>
    <row r="9" spans="1:13" x14ac:dyDescent="0.25">
      <c r="A9" s="17" t="s">
        <v>29</v>
      </c>
      <c r="B9" s="27">
        <v>0.4</v>
      </c>
      <c r="C9" s="27">
        <v>0.3</v>
      </c>
      <c r="D9" s="31" t="s">
        <v>43</v>
      </c>
      <c r="E9" s="32"/>
      <c r="F9" s="33">
        <f>+F1*Datos!$C$5</f>
        <v>45600000</v>
      </c>
      <c r="G9" s="33">
        <f>+G1*Datos!$C$5</f>
        <v>47880000</v>
      </c>
      <c r="H9" s="33">
        <f>+H1*Datos!$C$5</f>
        <v>50160000</v>
      </c>
      <c r="I9" s="33">
        <f>+I1*Datos!$C$5</f>
        <v>52440000</v>
      </c>
      <c r="J9" s="33">
        <f>+J1*Datos!$C$5</f>
        <v>54720000</v>
      </c>
    </row>
    <row r="10" spans="1:13" x14ac:dyDescent="0.25">
      <c r="A10" s="17" t="s">
        <v>33</v>
      </c>
      <c r="B10" s="27">
        <v>0.4</v>
      </c>
      <c r="C10" s="27">
        <v>0.3</v>
      </c>
      <c r="D10" s="31" t="s">
        <v>46</v>
      </c>
      <c r="E10" s="32"/>
      <c r="F10" s="33">
        <f>+Datos!$B$13</f>
        <v>5000000</v>
      </c>
      <c r="G10" s="33">
        <f>+Datos!$B$13</f>
        <v>5000000</v>
      </c>
      <c r="H10" s="33">
        <f>+Datos!$B$13</f>
        <v>5000000</v>
      </c>
      <c r="I10" s="33">
        <f>+Datos!$B$13</f>
        <v>5000000</v>
      </c>
      <c r="J10" s="33">
        <f>+Datos!$B$13</f>
        <v>5000000</v>
      </c>
    </row>
    <row r="11" spans="1:13" x14ac:dyDescent="0.25">
      <c r="A11" s="17"/>
      <c r="B11" s="27"/>
      <c r="C11" s="27"/>
      <c r="D11" s="31" t="s">
        <v>9</v>
      </c>
      <c r="E11" s="32"/>
      <c r="F11" s="33">
        <f>+F1*Datos!$B$14</f>
        <v>3600000</v>
      </c>
      <c r="G11" s="33">
        <f>+G1*Datos!$B$14</f>
        <v>3780000</v>
      </c>
      <c r="H11" s="33">
        <f>+H1*Datos!$B$14</f>
        <v>3960000</v>
      </c>
      <c r="I11" s="33">
        <f>+I1*Datos!$B$14</f>
        <v>4140000</v>
      </c>
      <c r="J11" s="33">
        <f>+J1*Datos!$B$14</f>
        <v>4320000</v>
      </c>
    </row>
    <row r="12" spans="1:13" ht="16.5" thickBot="1" x14ac:dyDescent="0.3">
      <c r="A12" s="34" t="s">
        <v>31</v>
      </c>
      <c r="B12" s="35">
        <v>0.4</v>
      </c>
      <c r="C12" s="35">
        <v>0.3</v>
      </c>
      <c r="D12" s="36" t="s">
        <v>55</v>
      </c>
      <c r="E12" s="32"/>
      <c r="F12" s="33">
        <f>+Datos!C19</f>
        <v>15000000</v>
      </c>
      <c r="G12" s="33">
        <f>+Datos!C20</f>
        <v>13341276.774557399</v>
      </c>
      <c r="H12" s="33">
        <f>+Datos!C21</f>
        <v>11184936.581482016</v>
      </c>
      <c r="I12" s="33">
        <f>+Datos!C22</f>
        <v>8381694.3304840168</v>
      </c>
      <c r="J12" s="33">
        <f>+Datos!C23</f>
        <v>4737479.4041866194</v>
      </c>
    </row>
    <row r="13" spans="1:13" x14ac:dyDescent="0.25">
      <c r="D13" s="37" t="s">
        <v>10</v>
      </c>
      <c r="E13" s="38"/>
      <c r="F13" s="39">
        <f>+F14+F17</f>
        <v>700000</v>
      </c>
      <c r="G13" s="39">
        <f>+G14+G17</f>
        <v>700000</v>
      </c>
      <c r="H13" s="39">
        <f>+H14+H17</f>
        <v>700000</v>
      </c>
      <c r="I13" s="39">
        <f>+I14+I17</f>
        <v>700000</v>
      </c>
      <c r="J13" s="40">
        <f>+J14+J17</f>
        <v>700000</v>
      </c>
    </row>
    <row r="14" spans="1:13" ht="16.5" thickBot="1" x14ac:dyDescent="0.3">
      <c r="D14" s="93" t="s">
        <v>35</v>
      </c>
      <c r="E14" s="94"/>
      <c r="F14" s="95">
        <f>+F16</f>
        <v>80000</v>
      </c>
      <c r="G14" s="95">
        <f>+G16</f>
        <v>80000</v>
      </c>
      <c r="H14" s="95">
        <f>+H16</f>
        <v>80000</v>
      </c>
      <c r="I14" s="95">
        <f>+I16</f>
        <v>80000</v>
      </c>
      <c r="J14" s="95">
        <f>+J16</f>
        <v>80000</v>
      </c>
    </row>
    <row r="15" spans="1:13" x14ac:dyDescent="0.25">
      <c r="D15" s="41" t="s">
        <v>44</v>
      </c>
      <c r="E15" s="42"/>
      <c r="F15" s="43">
        <v>300000</v>
      </c>
      <c r="G15" s="43">
        <v>300000</v>
      </c>
      <c r="H15" s="43">
        <v>300000</v>
      </c>
      <c r="I15" s="43">
        <v>300000</v>
      </c>
      <c r="J15" s="43">
        <v>300000</v>
      </c>
    </row>
    <row r="16" spans="1:13" x14ac:dyDescent="0.25">
      <c r="D16" s="36" t="s">
        <v>49</v>
      </c>
      <c r="E16" s="33"/>
      <c r="F16" s="33">
        <v>80000</v>
      </c>
      <c r="G16" s="33">
        <v>80000</v>
      </c>
      <c r="H16" s="33">
        <v>80000</v>
      </c>
      <c r="I16" s="33">
        <v>80000</v>
      </c>
      <c r="J16" s="33">
        <v>80000</v>
      </c>
    </row>
    <row r="17" spans="4:10" x14ac:dyDescent="0.25">
      <c r="D17" s="96" t="s">
        <v>0</v>
      </c>
      <c r="E17" s="97"/>
      <c r="F17" s="98">
        <f>SUM(F18:F19)</f>
        <v>620000</v>
      </c>
      <c r="G17" s="98">
        <f t="shared" ref="G17:J17" si="2">SUM(G18:G19)</f>
        <v>620000</v>
      </c>
      <c r="H17" s="98">
        <f t="shared" si="2"/>
        <v>620000</v>
      </c>
      <c r="I17" s="98">
        <f t="shared" si="2"/>
        <v>620000</v>
      </c>
      <c r="J17" s="98">
        <f t="shared" si="2"/>
        <v>620000</v>
      </c>
    </row>
    <row r="18" spans="4:10" x14ac:dyDescent="0.25">
      <c r="D18" s="36" t="s">
        <v>12</v>
      </c>
      <c r="E18" s="33"/>
      <c r="F18" s="33">
        <v>120000</v>
      </c>
      <c r="G18" s="33">
        <v>120000</v>
      </c>
      <c r="H18" s="33">
        <v>120000</v>
      </c>
      <c r="I18" s="33">
        <v>120000</v>
      </c>
      <c r="J18" s="33">
        <v>120000</v>
      </c>
    </row>
    <row r="19" spans="4:10" x14ac:dyDescent="0.25">
      <c r="D19" s="36" t="s">
        <v>14</v>
      </c>
      <c r="E19" s="33"/>
      <c r="F19" s="33">
        <v>500000</v>
      </c>
      <c r="G19" s="33">
        <v>500000</v>
      </c>
      <c r="H19" s="33">
        <v>500000</v>
      </c>
      <c r="I19" s="33">
        <v>500000</v>
      </c>
      <c r="J19" s="33">
        <v>500000</v>
      </c>
    </row>
    <row r="20" spans="4:10" x14ac:dyDescent="0.25">
      <c r="D20" s="44" t="s">
        <v>15</v>
      </c>
      <c r="E20" s="45"/>
      <c r="F20" s="45">
        <f>+F6-F8-F13</f>
        <v>2100000</v>
      </c>
      <c r="G20" s="45">
        <f>+G6-G8-G13</f>
        <v>4898723.2254426032</v>
      </c>
      <c r="H20" s="45">
        <f>+H6-H8-H13</f>
        <v>8195063.418517977</v>
      </c>
      <c r="I20" s="45">
        <f>+I6-I8-I13</f>
        <v>12138305.669515982</v>
      </c>
      <c r="J20" s="45">
        <f>+J6-J8-J13</f>
        <v>16922520.595813379</v>
      </c>
    </row>
    <row r="21" spans="4:10" x14ac:dyDescent="0.25">
      <c r="D21" s="46" t="s">
        <v>16</v>
      </c>
      <c r="E21" s="32"/>
      <c r="F21" s="32">
        <f>0.33*F20</f>
        <v>693000</v>
      </c>
      <c r="G21" s="32">
        <f t="shared" ref="G21:J21" si="3">0.33*G20</f>
        <v>1616578.6643960592</v>
      </c>
      <c r="H21" s="32">
        <f t="shared" si="3"/>
        <v>2704370.9281109325</v>
      </c>
      <c r="I21" s="32">
        <f t="shared" si="3"/>
        <v>4005640.8709402746</v>
      </c>
      <c r="J21" s="32">
        <f t="shared" si="3"/>
        <v>5584431.796618415</v>
      </c>
    </row>
    <row r="22" spans="4:10" x14ac:dyDescent="0.25">
      <c r="D22" s="46" t="s">
        <v>17</v>
      </c>
      <c r="E22" s="32"/>
      <c r="F22" s="33">
        <f>+F20-F21</f>
        <v>1407000</v>
      </c>
      <c r="G22" s="33">
        <f t="shared" ref="G22:J22" si="4">+G20-G21</f>
        <v>3282144.561046544</v>
      </c>
      <c r="H22" s="33">
        <f t="shared" si="4"/>
        <v>5490692.4904070441</v>
      </c>
      <c r="I22" s="33">
        <f t="shared" si="4"/>
        <v>8132664.7985757077</v>
      </c>
      <c r="J22" s="33">
        <f t="shared" si="4"/>
        <v>11338088.799194964</v>
      </c>
    </row>
    <row r="23" spans="4:10" x14ac:dyDescent="0.25">
      <c r="D23" s="47" t="s">
        <v>18</v>
      </c>
      <c r="E23" s="48"/>
      <c r="F23" s="48">
        <f>+F24+F25</f>
        <v>700000</v>
      </c>
      <c r="G23" s="48">
        <f t="shared" ref="G23:J23" si="5">+G24+G25</f>
        <v>700000</v>
      </c>
      <c r="H23" s="48">
        <f t="shared" si="5"/>
        <v>700000</v>
      </c>
      <c r="I23" s="48">
        <f t="shared" si="5"/>
        <v>700000</v>
      </c>
      <c r="J23" s="48">
        <f t="shared" si="5"/>
        <v>700000</v>
      </c>
    </row>
    <row r="24" spans="4:10" x14ac:dyDescent="0.25">
      <c r="D24" s="31" t="s">
        <v>19</v>
      </c>
      <c r="E24" s="32"/>
      <c r="F24" s="32">
        <f>+F14</f>
        <v>80000</v>
      </c>
      <c r="G24" s="32">
        <f>+G14</f>
        <v>80000</v>
      </c>
      <c r="H24" s="32">
        <f>+H14</f>
        <v>80000</v>
      </c>
      <c r="I24" s="32">
        <f>+I14</f>
        <v>80000</v>
      </c>
      <c r="J24" s="32">
        <f>+J14</f>
        <v>80000</v>
      </c>
    </row>
    <row r="25" spans="4:10" x14ac:dyDescent="0.25">
      <c r="D25" s="31" t="s">
        <v>0</v>
      </c>
      <c r="E25" s="32"/>
      <c r="F25" s="32">
        <f>+F17</f>
        <v>620000</v>
      </c>
      <c r="G25" s="32">
        <f>+G17</f>
        <v>620000</v>
      </c>
      <c r="H25" s="32">
        <f>+H17</f>
        <v>620000</v>
      </c>
      <c r="I25" s="32">
        <f>+I17</f>
        <v>620000</v>
      </c>
      <c r="J25" s="32">
        <f>+J17</f>
        <v>620000</v>
      </c>
    </row>
    <row r="26" spans="4:10" x14ac:dyDescent="0.25">
      <c r="D26" s="49" t="s">
        <v>20</v>
      </c>
      <c r="E26" s="50">
        <f>+E27+E29+E34</f>
        <v>-16950000</v>
      </c>
      <c r="F26" s="33">
        <f>+F27+F29+F34</f>
        <v>0</v>
      </c>
      <c r="G26" s="33">
        <f>+G27+G29+G34</f>
        <v>0</v>
      </c>
      <c r="H26" s="33">
        <v>0</v>
      </c>
      <c r="I26" s="33">
        <v>0</v>
      </c>
      <c r="J26" s="33"/>
    </row>
    <row r="27" spans="4:10" ht="20.25" customHeight="1" x14ac:dyDescent="0.25">
      <c r="D27" s="47" t="s">
        <v>21</v>
      </c>
      <c r="E27" s="51">
        <f>+E28</f>
        <v>-1900000</v>
      </c>
      <c r="F27" s="52">
        <v>0</v>
      </c>
      <c r="G27" s="52">
        <v>0</v>
      </c>
      <c r="H27" s="52">
        <v>0</v>
      </c>
      <c r="I27" s="52">
        <v>0</v>
      </c>
      <c r="J27" s="52"/>
    </row>
    <row r="28" spans="4:10" x14ac:dyDescent="0.25">
      <c r="D28" s="36" t="s">
        <v>11</v>
      </c>
      <c r="E28" s="33">
        <f>-SUM(F15:J16)</f>
        <v>-1900000</v>
      </c>
      <c r="F28" s="33"/>
      <c r="G28" s="33"/>
      <c r="H28" s="33"/>
      <c r="I28" s="33"/>
      <c r="J28" s="33"/>
    </row>
    <row r="29" spans="4:10" x14ac:dyDescent="0.25">
      <c r="D29" s="47" t="s">
        <v>22</v>
      </c>
      <c r="E29" s="51">
        <f>SUM(E30:E33)</f>
        <v>45900000</v>
      </c>
      <c r="F29" s="52">
        <v>0</v>
      </c>
      <c r="G29" s="52">
        <v>0</v>
      </c>
      <c r="H29" s="52">
        <v>0</v>
      </c>
      <c r="I29" s="52">
        <v>0</v>
      </c>
      <c r="J29" s="52"/>
    </row>
    <row r="30" spans="4:10" ht="18" customHeight="1" x14ac:dyDescent="0.25">
      <c r="D30" s="36" t="s">
        <v>56</v>
      </c>
      <c r="E30" s="33">
        <f>+Datos!E18</f>
        <v>50000000</v>
      </c>
      <c r="F30" s="33"/>
      <c r="G30" s="33"/>
      <c r="H30" s="33"/>
      <c r="I30" s="33"/>
      <c r="J30" s="33"/>
    </row>
    <row r="31" spans="4:10" ht="18" customHeight="1" x14ac:dyDescent="0.25">
      <c r="D31" s="36" t="s">
        <v>12</v>
      </c>
      <c r="E31" s="33">
        <v>-600000</v>
      </c>
      <c r="F31" s="33"/>
      <c r="G31" s="33"/>
      <c r="H31" s="33"/>
      <c r="I31" s="33"/>
      <c r="J31" s="33"/>
    </row>
    <row r="32" spans="4:10" x14ac:dyDescent="0.25">
      <c r="D32" s="36" t="s">
        <v>13</v>
      </c>
      <c r="E32" s="33">
        <v>-1000000</v>
      </c>
      <c r="F32" s="33"/>
      <c r="G32" s="33"/>
      <c r="H32" s="33"/>
      <c r="I32" s="33"/>
      <c r="J32" s="33"/>
    </row>
    <row r="33" spans="4:10" x14ac:dyDescent="0.25">
      <c r="D33" s="36" t="s">
        <v>23</v>
      </c>
      <c r="E33" s="33">
        <v>-2500000</v>
      </c>
      <c r="F33" s="33"/>
      <c r="G33" s="33"/>
      <c r="H33" s="33"/>
      <c r="I33" s="33"/>
      <c r="J33" s="33"/>
    </row>
    <row r="34" spans="4:10" x14ac:dyDescent="0.25">
      <c r="D34" s="47" t="s">
        <v>24</v>
      </c>
      <c r="E34" s="52">
        <f>-Datos!D5-Datos!D7*12-Datos!D6*12-Datos!D4*12</f>
        <v>-60950000</v>
      </c>
      <c r="F34" s="52"/>
      <c r="G34" s="52"/>
      <c r="H34" s="52"/>
      <c r="I34" s="52"/>
      <c r="J34" s="52"/>
    </row>
    <row r="35" spans="4:10" x14ac:dyDescent="0.25">
      <c r="D35" s="46" t="s">
        <v>1</v>
      </c>
      <c r="E35" s="32"/>
      <c r="F35" s="32"/>
      <c r="G35" s="32"/>
      <c r="H35" s="32"/>
      <c r="I35" s="32"/>
      <c r="J35" s="32">
        <f>+J36+J37</f>
        <v>2850000</v>
      </c>
    </row>
    <row r="36" spans="4:10" x14ac:dyDescent="0.25">
      <c r="D36" s="46" t="s">
        <v>2</v>
      </c>
      <c r="E36" s="32"/>
      <c r="F36" s="32"/>
      <c r="G36" s="32"/>
      <c r="H36" s="32"/>
      <c r="I36" s="32"/>
      <c r="J36" s="32">
        <v>950000</v>
      </c>
    </row>
    <row r="37" spans="4:10" x14ac:dyDescent="0.25">
      <c r="D37" s="46" t="s">
        <v>3</v>
      </c>
      <c r="E37" s="32"/>
      <c r="F37" s="32"/>
      <c r="G37" s="32"/>
      <c r="H37" s="32"/>
      <c r="I37" s="32"/>
      <c r="J37" s="32">
        <v>1900000</v>
      </c>
    </row>
    <row r="38" spans="4:10" x14ac:dyDescent="0.25">
      <c r="D38" s="46" t="s">
        <v>91</v>
      </c>
      <c r="E38" s="32"/>
      <c r="F38" s="32">
        <f>-Datos!D19</f>
        <v>-5529077.4181420095</v>
      </c>
      <c r="G38" s="32">
        <f>-Datos!D20</f>
        <v>-7187800.6435846109</v>
      </c>
      <c r="H38" s="32">
        <f>-Datos!D21</f>
        <v>-9344140.836659994</v>
      </c>
      <c r="I38" s="32">
        <f>-Datos!D22</f>
        <v>-12147383.087657992</v>
      </c>
      <c r="J38" s="32">
        <f>-Datos!D23</f>
        <v>-15791598.01395539</v>
      </c>
    </row>
    <row r="39" spans="4:10" x14ac:dyDescent="0.25">
      <c r="D39" s="53" t="s">
        <v>4</v>
      </c>
      <c r="E39" s="54">
        <f t="shared" ref="E39:J39" si="6">+E22+E23+E26+E36+E37</f>
        <v>-16950000</v>
      </c>
      <c r="F39" s="54">
        <f t="shared" si="6"/>
        <v>2107000</v>
      </c>
      <c r="G39" s="54">
        <f t="shared" si="6"/>
        <v>3982144.561046544</v>
      </c>
      <c r="H39" s="54">
        <f t="shared" si="6"/>
        <v>6190692.4904070441</v>
      </c>
      <c r="I39" s="54">
        <f t="shared" si="6"/>
        <v>8832664.7985757068</v>
      </c>
      <c r="J39" s="54">
        <f t="shared" si="6"/>
        <v>14888088.799194964</v>
      </c>
    </row>
    <row r="43" spans="4:10" x14ac:dyDescent="0.25">
      <c r="G43" s="15">
        <v>66950000</v>
      </c>
      <c r="H43" s="85">
        <f>+E30/G43</f>
        <v>0.74682598954443613</v>
      </c>
    </row>
    <row r="45" spans="4:10" x14ac:dyDescent="0.25">
      <c r="E45" s="15" t="s">
        <v>58</v>
      </c>
      <c r="F45" s="55">
        <v>0.12</v>
      </c>
    </row>
    <row r="47" spans="4:10" x14ac:dyDescent="0.25">
      <c r="E47" s="99" t="s">
        <v>36</v>
      </c>
      <c r="F47" s="99" t="s">
        <v>37</v>
      </c>
      <c r="G47" s="99" t="s">
        <v>38</v>
      </c>
      <c r="I47" s="15" t="s">
        <v>59</v>
      </c>
      <c r="J47" s="15" t="s">
        <v>60</v>
      </c>
    </row>
    <row r="48" spans="4:10" x14ac:dyDescent="0.25">
      <c r="E48" s="100">
        <v>0</v>
      </c>
      <c r="F48" s="15">
        <f>+E39</f>
        <v>-16950000</v>
      </c>
      <c r="G48" s="15">
        <f>-PV($F$45,E48,0,F48)</f>
        <v>-16950000</v>
      </c>
    </row>
    <row r="49" spans="5:8" x14ac:dyDescent="0.25">
      <c r="E49" s="100">
        <v>1</v>
      </c>
      <c r="F49" s="15">
        <f>+F39</f>
        <v>2107000</v>
      </c>
      <c r="G49" s="15">
        <f>-PV($F$45,E49,0,F49)</f>
        <v>1881249.9999999998</v>
      </c>
      <c r="H49" s="15">
        <f>+Tabla3[[#This Row],[Valor presente]]</f>
        <v>1881249.9999999998</v>
      </c>
    </row>
    <row r="50" spans="5:8" x14ac:dyDescent="0.25">
      <c r="E50" s="100">
        <v>2</v>
      </c>
      <c r="F50" s="15">
        <f>+G39</f>
        <v>3982144.561046544</v>
      </c>
      <c r="G50" s="15">
        <f t="shared" ref="G50:G53" si="7">-PV($F$45,E50,0,F50)</f>
        <v>3174541.2635893999</v>
      </c>
      <c r="H50" s="15">
        <f>+H49+Tabla3[[#This Row],[Valor presente]]</f>
        <v>5055791.2635893999</v>
      </c>
    </row>
    <row r="51" spans="5:8" x14ac:dyDescent="0.25">
      <c r="E51" s="100">
        <v>3</v>
      </c>
      <c r="F51" s="15">
        <f>+H39</f>
        <v>6190692.4904070441</v>
      </c>
      <c r="G51" s="15">
        <f t="shared" si="7"/>
        <v>4406412.6349585475</v>
      </c>
      <c r="H51" s="15">
        <f>+H50+Tabla3[[#This Row],[Valor presente]]</f>
        <v>9462203.8985479474</v>
      </c>
    </row>
    <row r="52" spans="5:8" x14ac:dyDescent="0.25">
      <c r="E52" s="100">
        <v>4</v>
      </c>
      <c r="F52" s="15">
        <f>+I39</f>
        <v>8832664.7985757068</v>
      </c>
      <c r="G52" s="15">
        <f t="shared" si="7"/>
        <v>5613318.159984828</v>
      </c>
      <c r="H52" s="15">
        <f>+H51+Tabla3[[#This Row],[Valor presente]]</f>
        <v>15075522.058532774</v>
      </c>
    </row>
    <row r="53" spans="5:8" x14ac:dyDescent="0.25">
      <c r="E53" s="100">
        <v>5</v>
      </c>
      <c r="F53" s="15">
        <f>+J39</f>
        <v>14888088.799194964</v>
      </c>
      <c r="G53" s="15">
        <f t="shared" si="7"/>
        <v>8447901.4149864931</v>
      </c>
      <c r="H53" s="15">
        <f>+H52+Tabla3[[#This Row],[Valor presente]]</f>
        <v>23523423.473519266</v>
      </c>
    </row>
    <row r="55" spans="5:8" ht="16.5" thickBot="1" x14ac:dyDescent="0.3">
      <c r="E55" s="15" t="s">
        <v>39</v>
      </c>
      <c r="G55" s="15">
        <f>SUM(G48:G53)</f>
        <v>6573423.4735192694</v>
      </c>
    </row>
    <row r="56" spans="5:8" ht="16.5" thickBot="1" x14ac:dyDescent="0.3">
      <c r="F56" s="60" t="s">
        <v>94</v>
      </c>
      <c r="G56" s="60" t="s">
        <v>95</v>
      </c>
    </row>
    <row r="57" spans="5:8" x14ac:dyDescent="0.25">
      <c r="F57" s="66" t="s">
        <v>41</v>
      </c>
      <c r="G57" s="82">
        <f>NPV(15%,F49:F53)+F48</f>
        <v>4415844.2574123926</v>
      </c>
    </row>
    <row r="58" spans="5:8" x14ac:dyDescent="0.25">
      <c r="F58" s="58" t="s">
        <v>42</v>
      </c>
      <c r="G58" s="101">
        <f>IRR(F48:F53,12%)</f>
        <v>0.2272795996730208</v>
      </c>
    </row>
    <row r="59" spans="5:8" x14ac:dyDescent="0.25">
      <c r="F59" s="66" t="s">
        <v>92</v>
      </c>
      <c r="G59" s="102">
        <f>-SUM(G49:G53)/G48</f>
        <v>1.3878125943079214</v>
      </c>
    </row>
    <row r="60" spans="5:8" ht="16.5" thickBot="1" x14ac:dyDescent="0.3">
      <c r="F60" s="80" t="s">
        <v>93</v>
      </c>
      <c r="G60" s="103">
        <f>-E52*F48/H52</f>
        <v>4.4973566909827225</v>
      </c>
    </row>
    <row r="61" spans="5:8" x14ac:dyDescent="0.25">
      <c r="F61" s="90"/>
      <c r="G61" s="71"/>
    </row>
  </sheetData>
  <mergeCells count="3">
    <mergeCell ref="A1:B1"/>
    <mergeCell ref="A7:B7"/>
    <mergeCell ref="E4:J4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abSelected="1" zoomScale="78" zoomScaleNormal="78" workbookViewId="0">
      <selection activeCell="F25" sqref="F25"/>
    </sheetView>
  </sheetViews>
  <sheetFormatPr baseColWidth="10" defaultRowHeight="15.75" x14ac:dyDescent="0.25"/>
  <cols>
    <col min="1" max="1" width="23.42578125" style="14" bestFit="1" customWidth="1"/>
    <col min="2" max="2" width="15.7109375" style="14" bestFit="1" customWidth="1"/>
    <col min="3" max="3" width="16.140625" style="14" customWidth="1"/>
    <col min="4" max="4" width="15.7109375" style="59" bestFit="1" customWidth="1"/>
    <col min="5" max="5" width="14.140625" style="14" customWidth="1"/>
    <col min="6" max="6" width="22.42578125" style="14" customWidth="1"/>
    <col min="7" max="7" width="15.7109375" style="14" bestFit="1" customWidth="1"/>
    <col min="8" max="8" width="11.5703125" style="110" bestFit="1" customWidth="1"/>
    <col min="9" max="9" width="3.5703125" style="110" customWidth="1"/>
    <col min="10" max="10" width="24.7109375" style="14" customWidth="1"/>
    <col min="11" max="11" width="19.42578125" style="14" customWidth="1"/>
    <col min="12" max="12" width="16.28515625" style="14" customWidth="1"/>
    <col min="13" max="13" width="31.42578125" style="14" customWidth="1"/>
    <col min="14" max="16384" width="11.42578125" style="14"/>
  </cols>
  <sheetData>
    <row r="1" spans="1:13" s="58" customFormat="1" ht="16.5" thickBot="1" x14ac:dyDescent="0.3">
      <c r="A1" s="56" t="s">
        <v>62</v>
      </c>
      <c r="B1" s="56" t="s">
        <v>65</v>
      </c>
      <c r="C1" s="56" t="s">
        <v>64</v>
      </c>
      <c r="D1" s="57" t="s">
        <v>63</v>
      </c>
      <c r="F1" s="60" t="s">
        <v>85</v>
      </c>
      <c r="G1" s="60" t="s">
        <v>72</v>
      </c>
      <c r="H1" s="111"/>
      <c r="I1" s="111"/>
      <c r="J1" s="56" t="s">
        <v>70</v>
      </c>
      <c r="K1" s="56" t="s">
        <v>69</v>
      </c>
      <c r="L1" s="56" t="s">
        <v>71</v>
      </c>
    </row>
    <row r="2" spans="1:13" x14ac:dyDescent="0.25">
      <c r="A2" s="14" t="s">
        <v>66</v>
      </c>
      <c r="B2" s="58">
        <v>2</v>
      </c>
      <c r="C2" s="59">
        <v>1500000</v>
      </c>
      <c r="D2" s="59">
        <f>+C2*B2</f>
        <v>3000000</v>
      </c>
      <c r="F2" s="61" t="s">
        <v>86</v>
      </c>
      <c r="G2" s="82">
        <v>400000</v>
      </c>
      <c r="J2" s="58">
        <v>2018</v>
      </c>
      <c r="K2" s="58">
        <v>20</v>
      </c>
      <c r="L2" s="58">
        <f>+K2*12</f>
        <v>240</v>
      </c>
    </row>
    <row r="3" spans="1:13" x14ac:dyDescent="0.25">
      <c r="A3" s="14" t="s">
        <v>67</v>
      </c>
      <c r="B3" s="58">
        <v>1</v>
      </c>
      <c r="C3" s="59">
        <v>800000</v>
      </c>
      <c r="D3" s="59">
        <f>+C3*B3</f>
        <v>800000</v>
      </c>
      <c r="F3" s="14" t="s">
        <v>87</v>
      </c>
      <c r="G3" s="83">
        <v>190000</v>
      </c>
      <c r="H3" s="110">
        <v>30</v>
      </c>
      <c r="J3" s="58">
        <v>2019</v>
      </c>
      <c r="K3" s="58">
        <f>INT(K2*1.05)</f>
        <v>21</v>
      </c>
      <c r="L3" s="58">
        <f t="shared" ref="L3:L6" si="0">+K3*12</f>
        <v>252</v>
      </c>
    </row>
    <row r="4" spans="1:13" ht="16.5" thickBot="1" x14ac:dyDescent="0.3">
      <c r="A4" s="14" t="s">
        <v>47</v>
      </c>
      <c r="B4" s="58">
        <v>1</v>
      </c>
      <c r="C4" s="59">
        <v>300000</v>
      </c>
      <c r="D4" s="59">
        <f t="shared" ref="D4:D9" si="1">+C4*B4</f>
        <v>300000</v>
      </c>
      <c r="F4" s="81" t="s">
        <v>88</v>
      </c>
      <c r="G4" s="84">
        <v>15000</v>
      </c>
      <c r="J4" s="58">
        <v>2020</v>
      </c>
      <c r="K4" s="58">
        <f>INT(K3*1.05)</f>
        <v>22</v>
      </c>
      <c r="L4" s="58">
        <f t="shared" si="0"/>
        <v>264</v>
      </c>
    </row>
    <row r="5" spans="1:13" x14ac:dyDescent="0.25">
      <c r="A5" s="14" t="s">
        <v>61</v>
      </c>
      <c r="B5" s="58">
        <v>5</v>
      </c>
      <c r="C5" s="59">
        <v>190000</v>
      </c>
      <c r="D5" s="59">
        <f t="shared" si="1"/>
        <v>950000</v>
      </c>
      <c r="J5" s="58">
        <v>2021</v>
      </c>
      <c r="K5" s="58">
        <f>INT(K4*1.05)</f>
        <v>23</v>
      </c>
      <c r="L5" s="58">
        <f t="shared" si="0"/>
        <v>276</v>
      </c>
    </row>
    <row r="6" spans="1:13" x14ac:dyDescent="0.25">
      <c r="A6" s="14" t="s">
        <v>74</v>
      </c>
      <c r="B6" s="58">
        <v>1</v>
      </c>
      <c r="C6" s="59">
        <v>100000</v>
      </c>
      <c r="D6" s="59">
        <f t="shared" si="1"/>
        <v>100000</v>
      </c>
      <c r="G6" s="14">
        <f>+C5/G2</f>
        <v>0.47499999999999998</v>
      </c>
      <c r="J6" s="58">
        <v>2022</v>
      </c>
      <c r="K6" s="58">
        <f>INT(K5*1.05)</f>
        <v>24</v>
      </c>
      <c r="L6" s="58">
        <f t="shared" si="0"/>
        <v>288</v>
      </c>
    </row>
    <row r="7" spans="1:13" x14ac:dyDescent="0.25">
      <c r="A7" s="14" t="s">
        <v>68</v>
      </c>
      <c r="B7" s="58">
        <v>2</v>
      </c>
      <c r="C7" s="59">
        <v>2300000</v>
      </c>
      <c r="D7" s="59">
        <f t="shared" si="1"/>
        <v>4600000</v>
      </c>
      <c r="L7" s="110">
        <f>SUBTOTAL(109,Tabla4[Ventas anuales])</f>
        <v>1320</v>
      </c>
      <c r="M7" s="110">
        <f>+L7/L19</f>
        <v>5.8961210670192424E-3</v>
      </c>
    </row>
    <row r="8" spans="1:13" ht="16.5" thickBot="1" x14ac:dyDescent="0.3">
      <c r="C8" s="59"/>
    </row>
    <row r="9" spans="1:13" ht="16.5" thickBot="1" x14ac:dyDescent="0.3">
      <c r="C9" s="59"/>
      <c r="F9" s="60" t="s">
        <v>48</v>
      </c>
      <c r="G9" s="60" t="s">
        <v>72</v>
      </c>
    </row>
    <row r="10" spans="1:13" x14ac:dyDescent="0.25">
      <c r="F10" s="61" t="s">
        <v>44</v>
      </c>
      <c r="G10" s="62">
        <f>D2/10</f>
        <v>300000</v>
      </c>
    </row>
    <row r="11" spans="1:13" ht="16.5" thickBot="1" x14ac:dyDescent="0.3">
      <c r="F11" s="63" t="s">
        <v>57</v>
      </c>
      <c r="G11" s="64">
        <f>+D3/10</f>
        <v>80000</v>
      </c>
    </row>
    <row r="12" spans="1:13" ht="16.5" thickBot="1" x14ac:dyDescent="0.3">
      <c r="A12" s="60" t="s">
        <v>45</v>
      </c>
      <c r="B12" s="60" t="s">
        <v>72</v>
      </c>
      <c r="H12" s="110">
        <f>5000000/190000</f>
        <v>26.315789473684209</v>
      </c>
      <c r="J12" s="69"/>
      <c r="K12"/>
      <c r="L12"/>
      <c r="M12"/>
    </row>
    <row r="13" spans="1:13" ht="16.5" thickBot="1" x14ac:dyDescent="0.3">
      <c r="A13" s="61" t="s">
        <v>46</v>
      </c>
      <c r="B13" s="62">
        <f>+D4+D6+D7</f>
        <v>5000000</v>
      </c>
      <c r="J13" s="60" t="s">
        <v>75</v>
      </c>
      <c r="K13" s="60" t="s">
        <v>76</v>
      </c>
      <c r="L13" s="60" t="s">
        <v>77</v>
      </c>
      <c r="M13" s="65" t="s">
        <v>78</v>
      </c>
    </row>
    <row r="14" spans="1:13" ht="16.5" thickBot="1" x14ac:dyDescent="0.3">
      <c r="A14" s="63" t="s">
        <v>73</v>
      </c>
      <c r="B14" s="64">
        <v>15000</v>
      </c>
      <c r="J14" s="66" t="s">
        <v>79</v>
      </c>
      <c r="K14" s="76">
        <v>430156</v>
      </c>
      <c r="L14" s="76">
        <v>136320</v>
      </c>
      <c r="M14" s="73">
        <v>3.16</v>
      </c>
    </row>
    <row r="15" spans="1:13" x14ac:dyDescent="0.25">
      <c r="J15" s="58" t="s">
        <v>80</v>
      </c>
      <c r="K15" s="77">
        <v>122507</v>
      </c>
      <c r="L15" s="77">
        <v>49592</v>
      </c>
      <c r="M15" s="74">
        <v>2.4700000000000002</v>
      </c>
    </row>
    <row r="16" spans="1:13" ht="16.5" thickBot="1" x14ac:dyDescent="0.3">
      <c r="A16" s="14" t="s">
        <v>54</v>
      </c>
      <c r="B16" s="55">
        <v>0.3</v>
      </c>
      <c r="J16" s="66" t="s">
        <v>81</v>
      </c>
      <c r="K16" s="76">
        <v>25688</v>
      </c>
      <c r="L16" s="76">
        <v>7924</v>
      </c>
      <c r="M16" s="73">
        <v>3.24</v>
      </c>
    </row>
    <row r="17" spans="1:13" ht="16.5" thickBot="1" x14ac:dyDescent="0.3">
      <c r="A17" s="60" t="s">
        <v>36</v>
      </c>
      <c r="B17" s="60" t="s">
        <v>50</v>
      </c>
      <c r="C17" s="60" t="s">
        <v>51</v>
      </c>
      <c r="D17" s="65" t="s">
        <v>52</v>
      </c>
      <c r="E17" s="65" t="s">
        <v>53</v>
      </c>
      <c r="J17" s="58" t="s">
        <v>82</v>
      </c>
      <c r="K17" s="77">
        <v>111998</v>
      </c>
      <c r="L17" s="77">
        <v>25474</v>
      </c>
      <c r="M17" s="74">
        <v>4.4000000000000004</v>
      </c>
    </row>
    <row r="18" spans="1:13" x14ac:dyDescent="0.25">
      <c r="A18" s="66">
        <v>0</v>
      </c>
      <c r="B18" s="61"/>
      <c r="C18" s="62"/>
      <c r="D18" s="62"/>
      <c r="E18" s="62">
        <v>50000000</v>
      </c>
      <c r="I18" s="112">
        <f>+E18*((((1.3^5)*0.3)/((1.3^5)-1)))</f>
        <v>20529077.41814201</v>
      </c>
      <c r="J18" s="70" t="s">
        <v>83</v>
      </c>
      <c r="K18" s="78">
        <v>22371</v>
      </c>
      <c r="L18" s="78">
        <v>4566</v>
      </c>
      <c r="M18" s="75">
        <v>4.9000000000000004</v>
      </c>
    </row>
    <row r="19" spans="1:13" ht="16.5" thickBot="1" x14ac:dyDescent="0.3">
      <c r="A19" s="58">
        <v>1</v>
      </c>
      <c r="B19" s="59">
        <f>+PMT($B$16,$A$23,-$E$18,0)</f>
        <v>20529077.41814201</v>
      </c>
      <c r="C19" s="59">
        <f>+E18*0.3</f>
        <v>15000000</v>
      </c>
      <c r="D19" s="59">
        <f>+B19-C19</f>
        <v>5529077.4181420095</v>
      </c>
      <c r="E19" s="59">
        <f>+E18-D19</f>
        <v>44470922.581857994</v>
      </c>
      <c r="J19" s="72" t="s">
        <v>84</v>
      </c>
      <c r="K19" s="79">
        <f>SUM(K14:K18)</f>
        <v>712720</v>
      </c>
      <c r="L19" s="79">
        <f t="shared" ref="L19:M19" si="2">SUM(L14:L18)</f>
        <v>223876</v>
      </c>
      <c r="M19" s="79">
        <f t="shared" si="2"/>
        <v>18.170000000000002</v>
      </c>
    </row>
    <row r="20" spans="1:13" x14ac:dyDescent="0.25">
      <c r="A20" s="66">
        <v>2</v>
      </c>
      <c r="B20" s="62">
        <f t="shared" ref="B20:B23" si="3">+PMT($B$16,$A$23,-$E$18,0)</f>
        <v>20529077.41814201</v>
      </c>
      <c r="C20" s="62">
        <f t="shared" ref="C20:C23" si="4">+E19*0.3</f>
        <v>13341276.774557399</v>
      </c>
      <c r="D20" s="62">
        <f t="shared" ref="D20:D23" si="5">+B20-C20</f>
        <v>7187800.6435846109</v>
      </c>
      <c r="E20" s="62">
        <f t="shared" ref="E20:E22" si="6">+E19-D20</f>
        <v>37283121.938273385</v>
      </c>
    </row>
    <row r="21" spans="1:13" x14ac:dyDescent="0.25">
      <c r="A21" s="58">
        <v>3</v>
      </c>
      <c r="B21" s="59">
        <f t="shared" si="3"/>
        <v>20529077.41814201</v>
      </c>
      <c r="C21" s="59">
        <f t="shared" si="4"/>
        <v>11184936.581482016</v>
      </c>
      <c r="D21" s="59">
        <f t="shared" si="5"/>
        <v>9344140.836659994</v>
      </c>
      <c r="E21" s="59">
        <f t="shared" si="6"/>
        <v>27938981.101613391</v>
      </c>
    </row>
    <row r="22" spans="1:13" x14ac:dyDescent="0.25">
      <c r="A22" s="66">
        <v>4</v>
      </c>
      <c r="B22" s="62">
        <f t="shared" si="3"/>
        <v>20529077.41814201</v>
      </c>
      <c r="C22" s="62">
        <f t="shared" si="4"/>
        <v>8381694.3304840168</v>
      </c>
      <c r="D22" s="62">
        <f t="shared" si="5"/>
        <v>12147383.087657992</v>
      </c>
      <c r="E22" s="62">
        <f t="shared" si="6"/>
        <v>15791598.013955399</v>
      </c>
    </row>
    <row r="23" spans="1:13" ht="16.5" thickBot="1" x14ac:dyDescent="0.3">
      <c r="A23" s="67">
        <v>5</v>
      </c>
      <c r="B23" s="68">
        <f t="shared" si="3"/>
        <v>20529077.41814201</v>
      </c>
      <c r="C23" s="68">
        <f t="shared" si="4"/>
        <v>4737479.4041866194</v>
      </c>
      <c r="D23" s="68">
        <f t="shared" si="5"/>
        <v>15791598.01395539</v>
      </c>
      <c r="E23" s="68">
        <f>+E22-D23</f>
        <v>0</v>
      </c>
    </row>
    <row r="27" spans="1:13" ht="16.5" thickBot="1" x14ac:dyDescent="0.3"/>
    <row r="28" spans="1:13" ht="16.5" thickBot="1" x14ac:dyDescent="0.3">
      <c r="A28" s="60" t="s">
        <v>62</v>
      </c>
      <c r="B28" s="60" t="s">
        <v>72</v>
      </c>
    </row>
    <row r="29" spans="1:13" x14ac:dyDescent="0.25">
      <c r="A29" s="86" t="s">
        <v>89</v>
      </c>
      <c r="B29" s="91">
        <v>1900000</v>
      </c>
    </row>
    <row r="30" spans="1:13" x14ac:dyDescent="0.25">
      <c r="A30" s="87" t="s">
        <v>12</v>
      </c>
      <c r="B30" s="59">
        <v>600000</v>
      </c>
    </row>
    <row r="31" spans="1:13" x14ac:dyDescent="0.25">
      <c r="A31" s="86" t="s">
        <v>13</v>
      </c>
      <c r="B31" s="62">
        <v>1000000</v>
      </c>
    </row>
    <row r="32" spans="1:13" x14ac:dyDescent="0.25">
      <c r="A32" s="87" t="s">
        <v>90</v>
      </c>
      <c r="B32" s="59">
        <v>2500000</v>
      </c>
    </row>
    <row r="33" spans="1:4" x14ac:dyDescent="0.25">
      <c r="A33" s="90" t="s">
        <v>24</v>
      </c>
      <c r="B33" s="71">
        <v>60950000</v>
      </c>
    </row>
    <row r="34" spans="1:4" ht="16.5" thickBot="1" x14ac:dyDescent="0.3">
      <c r="A34" s="88" t="s">
        <v>84</v>
      </c>
      <c r="B34" s="89">
        <f>SUM(B29:B33)</f>
        <v>66950000</v>
      </c>
      <c r="D34" s="14"/>
    </row>
  </sheetData>
  <pageMargins left="0.7" right="0.7" top="0.75" bottom="0.75" header="0.3" footer="0.3"/>
  <pageSetup paperSize="9" orientation="portrait" horizontalDpi="0" verticalDpi="0" r:id="rId1"/>
  <ignoredErrors>
    <ignoredError sqref="K2" calculatedColumn="1"/>
  </ignoredError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4:K17"/>
  <sheetViews>
    <sheetView topLeftCell="F1" zoomScale="101" workbookViewId="0">
      <selection activeCell="H7" sqref="H7"/>
    </sheetView>
  </sheetViews>
  <sheetFormatPr baseColWidth="10" defaultRowHeight="15" x14ac:dyDescent="0.25"/>
  <cols>
    <col min="8" max="8" width="21" customWidth="1"/>
    <col min="9" max="9" width="21.140625" customWidth="1"/>
  </cols>
  <sheetData>
    <row r="4" spans="7:11" x14ac:dyDescent="0.25">
      <c r="I4" s="4">
        <v>0.25</v>
      </c>
    </row>
    <row r="5" spans="7:11" x14ac:dyDescent="0.25">
      <c r="G5" s="1"/>
      <c r="H5" s="1"/>
      <c r="I5" s="4">
        <v>0.25</v>
      </c>
    </row>
    <row r="6" spans="7:11" x14ac:dyDescent="0.25">
      <c r="G6" s="2" t="s">
        <v>36</v>
      </c>
      <c r="H6" s="2" t="s">
        <v>37</v>
      </c>
      <c r="I6" s="2" t="s">
        <v>40</v>
      </c>
    </row>
    <row r="7" spans="7:11" x14ac:dyDescent="0.25">
      <c r="G7" s="3">
        <v>0</v>
      </c>
      <c r="H7" s="6">
        <v>-6765</v>
      </c>
      <c r="I7" s="7">
        <f>-PV($I$5,Tabla1[[#This Row],[Año]],0,Tabla1[[#This Row],[Flujo de efectivo]])</f>
        <v>-6765</v>
      </c>
    </row>
    <row r="8" spans="7:11" x14ac:dyDescent="0.25">
      <c r="G8" s="3">
        <v>1</v>
      </c>
      <c r="H8" s="6">
        <v>2500</v>
      </c>
      <c r="I8" s="7">
        <f>-PV($I$5,Tabla1[[#This Row],[Año]],0,Tabla1[[#This Row],[Flujo de efectivo]])</f>
        <v>2000</v>
      </c>
    </row>
    <row r="9" spans="7:11" x14ac:dyDescent="0.25">
      <c r="G9" s="3">
        <v>2</v>
      </c>
      <c r="H9" s="6">
        <v>2500</v>
      </c>
      <c r="I9" s="7">
        <f>-PV($I$5,Tabla1[[#This Row],[Año]],0,Tabla1[[#This Row],[Flujo de efectivo]])</f>
        <v>1600</v>
      </c>
      <c r="K9" s="5">
        <f>(SUM(I8:I15))/I7</f>
        <v>-1.4089309090909092</v>
      </c>
    </row>
    <row r="10" spans="7:11" x14ac:dyDescent="0.25">
      <c r="G10" s="3">
        <v>3</v>
      </c>
      <c r="H10" s="6">
        <v>2500</v>
      </c>
      <c r="I10" s="7">
        <f>-PV($I$5,Tabla1[[#This Row],[Año]],0,Tabla1[[#This Row],[Flujo de efectivo]])</f>
        <v>1280</v>
      </c>
    </row>
    <row r="11" spans="7:11" x14ac:dyDescent="0.25">
      <c r="G11" s="10">
        <v>4</v>
      </c>
      <c r="H11" s="11">
        <v>2500</v>
      </c>
      <c r="I11" s="12">
        <f>-PV($I$5,Tabla1[[#This Row],[Año]],0,Tabla1[[#This Row],[Flujo de efectivo]])</f>
        <v>1024</v>
      </c>
    </row>
    <row r="12" spans="7:11" x14ac:dyDescent="0.25">
      <c r="G12" s="3">
        <v>5</v>
      </c>
      <c r="H12" s="6">
        <v>3750</v>
      </c>
      <c r="I12" s="7">
        <f>-PV($I$5,Tabla1[[#This Row],[Año]],0,Tabla1[[#This Row],[Flujo de efectivo]])</f>
        <v>1228.8</v>
      </c>
    </row>
    <row r="13" spans="7:11" x14ac:dyDescent="0.25">
      <c r="G13" s="3">
        <v>6</v>
      </c>
      <c r="H13" s="6">
        <v>3750</v>
      </c>
      <c r="I13" s="7">
        <f>-PV($I$5,Tabla1[[#This Row],[Año]],0,Tabla1[[#This Row],[Flujo de efectivo]])</f>
        <v>983.04</v>
      </c>
    </row>
    <row r="14" spans="7:11" x14ac:dyDescent="0.25">
      <c r="G14" s="3">
        <v>7</v>
      </c>
      <c r="H14" s="6">
        <v>3750</v>
      </c>
      <c r="I14" s="7">
        <f>-PV($I$5,Tabla1[[#This Row],[Año]],0,Tabla1[[#This Row],[Flujo de efectivo]])</f>
        <v>786.43200000000002</v>
      </c>
    </row>
    <row r="15" spans="7:11" x14ac:dyDescent="0.25">
      <c r="G15" s="3">
        <v>8</v>
      </c>
      <c r="H15" s="6">
        <v>3750</v>
      </c>
      <c r="I15" s="7">
        <f>-PV($I$5,Tabla1[[#This Row],[Año]],0,Tabla1[[#This Row],[Flujo de efectivo]])</f>
        <v>629.14559999999994</v>
      </c>
    </row>
    <row r="16" spans="7:11" ht="27.75" customHeight="1" x14ac:dyDescent="0.25">
      <c r="G16" s="109" t="s">
        <v>41</v>
      </c>
      <c r="H16" s="109"/>
      <c r="I16" s="8">
        <f>+SUM(Tabla1[Operaciones VPN])</f>
        <v>2766.4175999999998</v>
      </c>
    </row>
    <row r="17" spans="7:9" ht="26.25" x14ac:dyDescent="0.25">
      <c r="G17" s="109" t="s">
        <v>42</v>
      </c>
      <c r="H17" s="109"/>
      <c r="I17" s="9">
        <f>+IRR(Tabla1[Flujo de efectivo],I5)</f>
        <v>0.3781753910200818</v>
      </c>
    </row>
  </sheetData>
  <mergeCells count="2">
    <mergeCell ref="G16:H16"/>
    <mergeCell ref="G17:H17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Flujo de Caja</vt:lpstr>
      <vt:lpstr>Datos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Juli y Dennis</cp:lastModifiedBy>
  <dcterms:created xsi:type="dcterms:W3CDTF">2018-03-31T21:30:19Z</dcterms:created>
  <dcterms:modified xsi:type="dcterms:W3CDTF">2018-08-04T04:21:16Z</dcterms:modified>
</cp:coreProperties>
</file>