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15" windowHeight="5250" tabRatio="762" activeTab="0"/>
  </bookViews>
  <sheets>
    <sheet name="Proyecciones" sheetId="1" r:id="rId1"/>
    <sheet name="Bases" sheetId="2" r:id="rId2"/>
    <sheet name="P&amp;G" sheetId="3" r:id="rId3"/>
    <sheet name="Balance" sheetId="4" r:id="rId4"/>
    <sheet name="Flujo de Caja" sheetId="5" r:id="rId5"/>
    <sheet name="Salidas" sheetId="6" r:id="rId6"/>
    <sheet name="Deuda $" sheetId="7" state="hidden" r:id="rId7"/>
    <sheet name="Terrenos" sheetId="8" state="hidden" r:id="rId8"/>
    <sheet name="Construcciones" sheetId="9" state="hidden" r:id="rId9"/>
    <sheet name="Maquinaria" sheetId="10" state="hidden" r:id="rId10"/>
    <sheet name="Muebles" sheetId="11" state="hidden" r:id="rId11"/>
    <sheet name="Transporte" sheetId="12" state="hidden" r:id="rId12"/>
    <sheet name="Oficina" sheetId="13" state="hidden" r:id="rId13"/>
    <sheet name="Semovientes" sheetId="14" state="hidden" r:id="rId14"/>
    <sheet name="Permanentes" sheetId="15" state="hidden" r:id="rId15"/>
    <sheet name="Anticipados" sheetId="16" state="hidden" r:id="rId16"/>
    <sheet name="punto de eqilibrio" sheetId="17" r:id="rId17"/>
    <sheet name="Costos directos e indirectos" sheetId="18" r:id="rId18"/>
    <sheet name="Nomina " sheetId="19" r:id="rId19"/>
    <sheet name="Gastos de administraci y ventas" sheetId="20" r:id="rId20"/>
    <sheet name="Maquinaria y Equipos" sheetId="21" r:id="rId21"/>
    <sheet name="Equipos de Oficina" sheetId="22" r:id="rId22"/>
  </sheets>
  <definedNames>
    <definedName name="_xlnm.Print_Area" localSheetId="3">'Balance'!$A$3:$G$58</definedName>
    <definedName name="_xlnm.Print_Area" localSheetId="1">'Bases'!$A$1:$C$12</definedName>
    <definedName name="_xlnm.Print_Area" localSheetId="4">'Flujo de Caja'!$A$2:$F$43</definedName>
    <definedName name="_xlnm.Print_Area" localSheetId="2">'P&amp;G'!$A$2:$F$26</definedName>
    <definedName name="_xlnm.Print_Area" localSheetId="0">'Proyecciones'!$A$1:$H$70</definedName>
    <definedName name="_xlnm.Print_Area" localSheetId="5">'Salidas'!#REF!</definedName>
    <definedName name="_xlnm.Print_Titles" localSheetId="0">'Proyecciones'!$1:$1</definedName>
    <definedName name="Z_63916809_C01D_4B23_BE77_5F659C46351E_.wvu.PrintArea" localSheetId="3" hidden="1">'Balance'!$A$3:$G$58</definedName>
    <definedName name="Z_63916809_C01D_4B23_BE77_5F659C46351E_.wvu.PrintArea" localSheetId="1" hidden="1">'Bases'!$A$1:$C$12</definedName>
    <definedName name="Z_63916809_C01D_4B23_BE77_5F659C46351E_.wvu.PrintArea" localSheetId="4" hidden="1">'Flujo de Caja'!$A$2:$F$43</definedName>
    <definedName name="Z_63916809_C01D_4B23_BE77_5F659C46351E_.wvu.PrintArea" localSheetId="2" hidden="1">'P&amp;G'!$A$2:$F$26</definedName>
    <definedName name="Z_63916809_C01D_4B23_BE77_5F659C46351E_.wvu.PrintArea" localSheetId="0" hidden="1">'Proyecciones'!$A$1:$H$70</definedName>
    <definedName name="Z_63916809_C01D_4B23_BE77_5F659C46351E_.wvu.PrintArea" localSheetId="5" hidden="1">'Salidas'!#REF!</definedName>
    <definedName name="Z_63916809_C01D_4B23_BE77_5F659C46351E_.wvu.PrintTitles" localSheetId="0" hidden="1">'Proyecciones'!$1:$1</definedName>
  </definedNames>
  <calcPr fullCalcOnLoad="1"/>
</workbook>
</file>

<file path=xl/comments1.xml><?xml version="1.0" encoding="utf-8"?>
<comments xmlns="http://schemas.openxmlformats.org/spreadsheetml/2006/main">
  <authors>
    <author>Sergio C?rdenas Yanes</author>
    <author>FRANCY</author>
  </authors>
  <commentList>
    <comment ref="A3" authorId="0">
      <text>
        <r>
          <rPr>
            <b/>
            <sz val="8"/>
            <rFont val="Tahoma"/>
            <family val="2"/>
          </rPr>
          <t>Valora Consultoria:</t>
        </r>
        <r>
          <rPr>
            <sz val="8"/>
            <rFont val="Tahoma"/>
            <family val="2"/>
          </rPr>
          <t xml:space="preserve">
Fuente: Proyecciones Economicas Bancolombia 2008 - 2012 (Octubre de 2007)</t>
        </r>
      </text>
    </comment>
    <comment ref="D39" authorId="1">
      <text>
        <r>
          <rPr>
            <sz val="8"/>
            <rFont val="Tahoma"/>
            <family val="2"/>
          </rPr>
          <t xml:space="preserve">Este costo incluye empaque, rotulado y servicios
</t>
        </r>
      </text>
    </comment>
    <comment ref="D40" authorId="1">
      <text>
        <r>
          <rPr>
            <sz val="8"/>
            <rFont val="Tahoma"/>
            <family val="2"/>
          </rPr>
          <t xml:space="preserve">Este costo incluye empaque, rotulado y servicios.
</t>
        </r>
      </text>
    </comment>
    <comment ref="D36" authorId="1">
      <text>
        <r>
          <rPr>
            <sz val="8"/>
            <rFont val="Tahoma"/>
            <family val="2"/>
          </rPr>
          <t>Promedio de los 2 descuentos según politica de cartera.</t>
        </r>
      </text>
    </comment>
  </commentList>
</comments>
</file>

<file path=xl/comments20.xml><?xml version="1.0" encoding="utf-8"?>
<comments xmlns="http://schemas.openxmlformats.org/spreadsheetml/2006/main">
  <authors>
    <author>Mildreth RB MA</author>
  </authors>
  <commentList>
    <comment ref="C7" authorId="0">
      <text>
        <r>
          <rPr>
            <sz val="9"/>
            <rFont val="Tahoma"/>
            <family val="2"/>
          </rPr>
          <t xml:space="preserve">
Valor anual de los gastos admiistrativos fuera de la nomina
</t>
        </r>
      </text>
    </comment>
  </commentList>
</comments>
</file>

<file path=xl/comments22.xml><?xml version="1.0" encoding="utf-8"?>
<comments xmlns="http://schemas.openxmlformats.org/spreadsheetml/2006/main">
  <authors>
    <author>Mildreth RB MA</author>
  </authors>
  <commentList>
    <comment ref="E9" authorId="0">
      <text>
        <r>
          <rPr>
            <sz val="9"/>
            <rFont val="Tahoma"/>
            <family val="2"/>
          </rPr>
          <t xml:space="preserve">
Valor de los equipos de oficina
</t>
        </r>
      </text>
    </comment>
  </commentList>
</comments>
</file>

<file path=xl/sharedStrings.xml><?xml version="1.0" encoding="utf-8"?>
<sst xmlns="http://schemas.openxmlformats.org/spreadsheetml/2006/main" count="1063" uniqueCount="436">
  <si>
    <t>Un.</t>
  </si>
  <si>
    <t>%</t>
  </si>
  <si>
    <t>IPP</t>
  </si>
  <si>
    <t>Crecimiento PIB</t>
  </si>
  <si>
    <t>$</t>
  </si>
  <si>
    <t>DTF T.A.</t>
  </si>
  <si>
    <t>unid.</t>
  </si>
  <si>
    <t>Cuentas por cobrar</t>
  </si>
  <si>
    <t>días</t>
  </si>
  <si>
    <t>Rebaja</t>
  </si>
  <si>
    <t>% ventas</t>
  </si>
  <si>
    <t>Pronto pago</t>
  </si>
  <si>
    <t>Gastos de Ventas</t>
  </si>
  <si>
    <t>Gastos Administación</t>
  </si>
  <si>
    <t>Axi</t>
  </si>
  <si>
    <t>Depreciación Período</t>
  </si>
  <si>
    <t>Axi Depreciación acumulada</t>
  </si>
  <si>
    <t>Depreciación acumulada</t>
  </si>
  <si>
    <t>Valor neto</t>
  </si>
  <si>
    <t>Depreciación acum.</t>
  </si>
  <si>
    <t>Materia Prima</t>
  </si>
  <si>
    <t>Mano de Obra</t>
  </si>
  <si>
    <t>Depreciación</t>
  </si>
  <si>
    <t>Total</t>
  </si>
  <si>
    <t>Cuentas por Pagar</t>
  </si>
  <si>
    <t>Impuestos</t>
  </si>
  <si>
    <t>Patrimonio</t>
  </si>
  <si>
    <t>Renta Presuntiva</t>
  </si>
  <si>
    <t>Renta Liquida</t>
  </si>
  <si>
    <t>Capital Social</t>
  </si>
  <si>
    <t>Deuda</t>
  </si>
  <si>
    <t>Reserva Legal Período</t>
  </si>
  <si>
    <t>Reserva Legal Acumulada</t>
  </si>
  <si>
    <t>Utilidades Retenidas</t>
  </si>
  <si>
    <t>Utilidades del Ejercicio</t>
  </si>
  <si>
    <t>Base Revalorización</t>
  </si>
  <si>
    <t>Revalorizacion patrimonio período</t>
  </si>
  <si>
    <t>Revalorizacion patrimonio acumulado</t>
  </si>
  <si>
    <t>TOTAL PATRIMONIO</t>
  </si>
  <si>
    <t>Dividendos</t>
  </si>
  <si>
    <t>PARAMETRO</t>
  </si>
  <si>
    <t>VALOR</t>
  </si>
  <si>
    <t>EXPLICACION</t>
  </si>
  <si>
    <t>Gracia</t>
  </si>
  <si>
    <t>Plazo</t>
  </si>
  <si>
    <t>Tasa en pesos</t>
  </si>
  <si>
    <t>Puntos por encima del DTF</t>
  </si>
  <si>
    <t>BALANCE GENERAL</t>
  </si>
  <si>
    <t>Activo Corriente</t>
  </si>
  <si>
    <t>Efectivo</t>
  </si>
  <si>
    <t>Cuentas X Cobrar</t>
  </si>
  <si>
    <t>Total Activo Corriente:</t>
  </si>
  <si>
    <t>Depreciación Acumulada Planta</t>
  </si>
  <si>
    <t>Maquinaria y Equipo</t>
  </si>
  <si>
    <t>Total Activos Fijos:</t>
  </si>
  <si>
    <t>TOTAL ACTIVO</t>
  </si>
  <si>
    <t>Impuestos X Pagar</t>
  </si>
  <si>
    <t>Obligaciones Financieras</t>
  </si>
  <si>
    <t>Otros pasivos a LP</t>
  </si>
  <si>
    <t>TOTAL PASIVO</t>
  </si>
  <si>
    <t>Revalorizacion patrimonio</t>
  </si>
  <si>
    <t>TOTAL PAS + PAT</t>
  </si>
  <si>
    <t>CUADRE</t>
  </si>
  <si>
    <t>ESTADO DE RESULTADOS</t>
  </si>
  <si>
    <t>Ventas</t>
  </si>
  <si>
    <t>Devoluciones y rebajas en ventas</t>
  </si>
  <si>
    <t>Utilidad Bruta</t>
  </si>
  <si>
    <t>Gasto de Ventas</t>
  </si>
  <si>
    <t>Gastos de Administracion</t>
  </si>
  <si>
    <t>Utilidad Operativa</t>
  </si>
  <si>
    <t>Otros ingresos</t>
  </si>
  <si>
    <t xml:space="preserve"> Intereses</t>
  </si>
  <si>
    <t>Otros ingresos y egresos</t>
  </si>
  <si>
    <t xml:space="preserve"> Revalorización de Patrimonio</t>
  </si>
  <si>
    <t xml:space="preserve"> Ajuste Activos no Monetarios</t>
  </si>
  <si>
    <t xml:space="preserve"> Ajuste Depreciación Acumulada</t>
  </si>
  <si>
    <t>Total Corrección Monetaria</t>
  </si>
  <si>
    <t>Utilidad antes de impuestos</t>
  </si>
  <si>
    <t>Utilidad Neta Final</t>
  </si>
  <si>
    <t>FLUJO DE CAJA</t>
  </si>
  <si>
    <t>Flujo de Caja Operativo</t>
  </si>
  <si>
    <t>Neto Flujo de Caja Operativo</t>
  </si>
  <si>
    <t>Flujo de Caja Inversión</t>
  </si>
  <si>
    <t>Variación del Capital de Trabajo</t>
  </si>
  <si>
    <t>Neto Flujo de Caja Inversión</t>
  </si>
  <si>
    <t>Flujo de Caja Financiamiento</t>
  </si>
  <si>
    <t>Amortizaciones Pasivos Largo Plazo</t>
  </si>
  <si>
    <t>Intereses Pagados</t>
  </si>
  <si>
    <t>Dividendos Pagados</t>
  </si>
  <si>
    <t>Capital</t>
  </si>
  <si>
    <t>Neto Flujo de Caja Financiamiento</t>
  </si>
  <si>
    <t>Neto Periodo</t>
  </si>
  <si>
    <t>Saldo anterior</t>
  </si>
  <si>
    <t>Saldo siguiente</t>
  </si>
  <si>
    <t>Nueva Deuda Final año</t>
  </si>
  <si>
    <t xml:space="preserve"> Obligación 0</t>
  </si>
  <si>
    <t xml:space="preserve"> Obligación 1</t>
  </si>
  <si>
    <t xml:space="preserve"> Obligación 2</t>
  </si>
  <si>
    <t xml:space="preserve"> Obligación 3</t>
  </si>
  <si>
    <t xml:space="preserve"> Obligación 4</t>
  </si>
  <si>
    <t xml:space="preserve"> Obligación 5</t>
  </si>
  <si>
    <t>Total Saldo Deuda</t>
  </si>
  <si>
    <t>Total Amortización</t>
  </si>
  <si>
    <t>Total Intereses</t>
  </si>
  <si>
    <t>DTF EA</t>
  </si>
  <si>
    <t>Saldo Deuda Final</t>
  </si>
  <si>
    <t>Amortización Deuda</t>
  </si>
  <si>
    <t>Inversiones al inicio del período</t>
  </si>
  <si>
    <t>Inversión 1</t>
  </si>
  <si>
    <t>Inversión 2</t>
  </si>
  <si>
    <t>Inversión 3</t>
  </si>
  <si>
    <t>Inversión 4</t>
  </si>
  <si>
    <t>Inversión 5</t>
  </si>
  <si>
    <t>Total Axi</t>
  </si>
  <si>
    <t>Inversión Ajustada</t>
  </si>
  <si>
    <t>Total Inversiones Ajustadas</t>
  </si>
  <si>
    <t>Total Depreciación período</t>
  </si>
  <si>
    <t>Axi Depreciación</t>
  </si>
  <si>
    <t>Total Axi Depreciación</t>
  </si>
  <si>
    <t>Depreciación Acumulada</t>
  </si>
  <si>
    <t>Total Depreciación Acumulada</t>
  </si>
  <si>
    <t>DTF T.A. + puntos</t>
  </si>
  <si>
    <t>Materia Prima y M.O.</t>
  </si>
  <si>
    <t>Margen Bruto</t>
  </si>
  <si>
    <t>Utilidad Operacional</t>
  </si>
  <si>
    <t>Cartera Clientes</t>
  </si>
  <si>
    <t>Cartera Clientes (Var.)</t>
  </si>
  <si>
    <t>Desembolsos Pasivo Largo Plazo</t>
  </si>
  <si>
    <t>Terrenos</t>
  </si>
  <si>
    <t>Valor Ajustado</t>
  </si>
  <si>
    <t>Construcciones y Edificios</t>
  </si>
  <si>
    <t>Maquinaria y Equipo de Operación</t>
  </si>
  <si>
    <t>Construcciones y Edificios Neto</t>
  </si>
  <si>
    <t>Maquinaria y Equipo de Operación Neto</t>
  </si>
  <si>
    <t>Equipo de Transporte</t>
  </si>
  <si>
    <t>PAGG</t>
  </si>
  <si>
    <t>Construcciones y Edificaciones</t>
  </si>
  <si>
    <t>Muebles y Enseres</t>
  </si>
  <si>
    <t>Equipo de Transporte Neto</t>
  </si>
  <si>
    <t>Muebles y Enseres Neto</t>
  </si>
  <si>
    <t>Vida útil (años)</t>
  </si>
  <si>
    <t>Equipo de Oficina</t>
  </si>
  <si>
    <t>Provisión Cuentas por Cobrar</t>
  </si>
  <si>
    <t>Provisiones</t>
  </si>
  <si>
    <t>Depreciaciones</t>
  </si>
  <si>
    <t>Provisión Período</t>
  </si>
  <si>
    <t>Inventarios Materias Primas e Insumos</t>
  </si>
  <si>
    <t>Inventarios Producto Terminado</t>
  </si>
  <si>
    <t>Equipo de Oficina Neto</t>
  </si>
  <si>
    <t>Inventarios de Producto en Proceso</t>
  </si>
  <si>
    <t>días compras</t>
  </si>
  <si>
    <t>días costo</t>
  </si>
  <si>
    <t>Semovientes pie de cria</t>
  </si>
  <si>
    <t>Semovientes pie de Cria</t>
  </si>
  <si>
    <t>Cultivos Permanentes</t>
  </si>
  <si>
    <t>Otros Pasivos</t>
  </si>
  <si>
    <t>Pasivo</t>
  </si>
  <si>
    <t>Obligacion Fondo Emprender (Contingente)</t>
  </si>
  <si>
    <t>Variacion Cuentas por Cobrar</t>
  </si>
  <si>
    <t>Variacion Inv. Prod. En Proceso</t>
  </si>
  <si>
    <t>Variacion Inv. Prod. Terminados</t>
  </si>
  <si>
    <t>Variación Cuentas por Pagar</t>
  </si>
  <si>
    <t>Precio Promedio</t>
  </si>
  <si>
    <t>Variables Macroeconómicas</t>
  </si>
  <si>
    <t>Rebajas en Ventas</t>
  </si>
  <si>
    <t>Gastos Operacionales</t>
  </si>
  <si>
    <t>Inventarios</t>
  </si>
  <si>
    <t>Capital de Trabajo</t>
  </si>
  <si>
    <t>Ventas, Costos y Gastos</t>
  </si>
  <si>
    <t>Rotación Cartera Clientes</t>
  </si>
  <si>
    <t>Invent. Prod. Final Rotación</t>
  </si>
  <si>
    <t>Invent. Prod. Final</t>
  </si>
  <si>
    <t>Invent. Prod. Final Variación</t>
  </si>
  <si>
    <t xml:space="preserve">Invent. Prod. en Proceso Rotación </t>
  </si>
  <si>
    <t>Invent. Prod. Proceso</t>
  </si>
  <si>
    <t>Invent. Prod. Proceso Variación</t>
  </si>
  <si>
    <t xml:space="preserve">Invent. Materia Prima Rotación </t>
  </si>
  <si>
    <t>Invent. Materia Prima</t>
  </si>
  <si>
    <t>Invent. Materia Prima Variación</t>
  </si>
  <si>
    <t>Activos iniciales</t>
  </si>
  <si>
    <t>Equipos de Oficina</t>
  </si>
  <si>
    <t>Total Inversiones</t>
  </si>
  <si>
    <t>Capital Socios</t>
  </si>
  <si>
    <t>Obligaciones Fondo Emprender</t>
  </si>
  <si>
    <t>Inversión en Terrenos</t>
  </si>
  <si>
    <t>Inversión Activos Fijos</t>
  </si>
  <si>
    <t>Construcciones</t>
  </si>
  <si>
    <t>Inversión en Construcciones</t>
  </si>
  <si>
    <t>Inversión en Maquinaria y Equipo</t>
  </si>
  <si>
    <t>Inversión en Equipos de Oficina</t>
  </si>
  <si>
    <t>Inversión en Muebles</t>
  </si>
  <si>
    <t>Activos Fijos</t>
  </si>
  <si>
    <t>Inversión en Equipo de Transporte</t>
  </si>
  <si>
    <t>Transporte</t>
  </si>
  <si>
    <t>Muebles</t>
  </si>
  <si>
    <t>Oficina</t>
  </si>
  <si>
    <t>Otros</t>
  </si>
  <si>
    <t>Semovientes</t>
  </si>
  <si>
    <t>Amortización Período</t>
  </si>
  <si>
    <t>Axi Amortización acumulada</t>
  </si>
  <si>
    <t>Amortización acum.</t>
  </si>
  <si>
    <t xml:space="preserve"> Depreciación Acumulada</t>
  </si>
  <si>
    <t>Amortización</t>
  </si>
  <si>
    <t>Ajuste Amortización Acumulada</t>
  </si>
  <si>
    <t>Axi Amortización</t>
  </si>
  <si>
    <t>Amortización Acumulada</t>
  </si>
  <si>
    <t>Inversión en Semovientes</t>
  </si>
  <si>
    <t>Total Amortización Acumulada</t>
  </si>
  <si>
    <t>Total Axi Amortización</t>
  </si>
  <si>
    <t>Total Amortización período</t>
  </si>
  <si>
    <t>Inversión Cultivos Permanentes</t>
  </si>
  <si>
    <t>Permanentes</t>
  </si>
  <si>
    <t>Utilidades Repartibles</t>
  </si>
  <si>
    <t>Renta</t>
  </si>
  <si>
    <t>Impuesto Renta</t>
  </si>
  <si>
    <t>Impuestos por Pagar</t>
  </si>
  <si>
    <t>Pago de Impuesto Renta</t>
  </si>
  <si>
    <t xml:space="preserve"> Agotamiento Acumulada</t>
  </si>
  <si>
    <t>Total Inventario</t>
  </si>
  <si>
    <t>Otros Activos</t>
  </si>
  <si>
    <t>Variación</t>
  </si>
  <si>
    <t>Inversión Otros Activos</t>
  </si>
  <si>
    <t>Estructura de Capital</t>
  </si>
  <si>
    <t>Capital Adicional Socios</t>
  </si>
  <si>
    <t>Total Otros Activos Fijos</t>
  </si>
  <si>
    <t>Cuentas X Pagar Proveedores</t>
  </si>
  <si>
    <t>Cuentas por Pagar Proveedores</t>
  </si>
  <si>
    <t>Cuentas por Pagar Proveedores (Var.)</t>
  </si>
  <si>
    <t>Acreedores Varios</t>
  </si>
  <si>
    <t>Acreedores Varios (Var.)</t>
  </si>
  <si>
    <t>Variación Acreedores Varios</t>
  </si>
  <si>
    <t>Otros Pasivos (Var.)</t>
  </si>
  <si>
    <t>Variación Otros Pasivos</t>
  </si>
  <si>
    <t>Anticipos y Otras Cuentas por Cobrar</t>
  </si>
  <si>
    <t>Anticipos y Otras Cuentas por Cobar</t>
  </si>
  <si>
    <t>Anticipos y Otras Cuentas por Cobar (Var.)</t>
  </si>
  <si>
    <t>Var. Anticipos y Otros Cuentas por Cobrar</t>
  </si>
  <si>
    <t>Gastos Anticipados</t>
  </si>
  <si>
    <t>Inversión 0</t>
  </si>
  <si>
    <t>Agotamiento</t>
  </si>
  <si>
    <t>Gastos Anticipados Neto</t>
  </si>
  <si>
    <t>Amortización Gastos</t>
  </si>
  <si>
    <t>Ajuste Agotamiento Acumulada</t>
  </si>
  <si>
    <t>Materia Prima, Mano de Obra</t>
  </si>
  <si>
    <t>Amortización (años)</t>
  </si>
  <si>
    <t>Agotamiento (años)</t>
  </si>
  <si>
    <t>Acreedores Gastos Anticipados(Var.)</t>
  </si>
  <si>
    <t>Gastos durante el período</t>
  </si>
  <si>
    <t xml:space="preserve">  Supuestos Macroeconómicos  </t>
  </si>
  <si>
    <t xml:space="preserve">  Variación Anual IPC     </t>
  </si>
  <si>
    <t xml:space="preserve">  Devaluación     </t>
  </si>
  <si>
    <t xml:space="preserve">  Variación PIB     </t>
  </si>
  <si>
    <t xml:space="preserve">  Supuestos Operativos  </t>
  </si>
  <si>
    <t xml:space="preserve">  Variación precios     </t>
  </si>
  <si>
    <t xml:space="preserve">  Variación Cantidades vendidas     </t>
  </si>
  <si>
    <t xml:space="preserve">  Variación costos de producción     </t>
  </si>
  <si>
    <t xml:space="preserve">  Variación Gastos Administrativos     </t>
  </si>
  <si>
    <t xml:space="preserve">  Rotación Cartera (días)     </t>
  </si>
  <si>
    <t xml:space="preserve">  Rotación Proveedores (días)     </t>
  </si>
  <si>
    <t xml:space="preserve">  Rotación inventarios (días)     </t>
  </si>
  <si>
    <t xml:space="preserve">  Indicadores Financieros Proyectados </t>
  </si>
  <si>
    <t xml:space="preserve">  Liquidez - Razón Corriente       </t>
  </si>
  <si>
    <t xml:space="preserve">  Prueba Acida       </t>
  </si>
  <si>
    <t xml:space="preserve">  Rotacion Proveedores (días)       </t>
  </si>
  <si>
    <t xml:space="preserve">  Nivel de Endeudamiento Total       </t>
  </si>
  <si>
    <t xml:space="preserve">  Concentración Corto Plazo       </t>
  </si>
  <si>
    <t xml:space="preserve">  Ebitda / Gastos Financieros       </t>
  </si>
  <si>
    <t xml:space="preserve">  Ebitda / Servicio de Deuda       </t>
  </si>
  <si>
    <t xml:space="preserve">  Rentabilidad Operacional       </t>
  </si>
  <si>
    <t xml:space="preserve">  Rentabilidad Neta       </t>
  </si>
  <si>
    <t xml:space="preserve">  Rentabilidad Patrimonio       </t>
  </si>
  <si>
    <t xml:space="preserve">  Rentabilidad del Activo       </t>
  </si>
  <si>
    <t xml:space="preserve">Flujo de Caja y Rentabilidad  </t>
  </si>
  <si>
    <t xml:space="preserve">  Flujo de Caja Proyectado y rentabilidad. Cifras en Miles de Pesos </t>
  </si>
  <si>
    <t xml:space="preserve">  Flujo de Operación     </t>
  </si>
  <si>
    <t xml:space="preserve">  Flujo de Inversión     </t>
  </si>
  <si>
    <t xml:space="preserve">  Flujo de Financiación     </t>
  </si>
  <si>
    <t xml:space="preserve">  Flujo de caja para evaluación     </t>
  </si>
  <si>
    <t xml:space="preserve">  Tasa de descuento Utilizada     </t>
  </si>
  <si>
    <t xml:space="preserve">  Flujo de caja descontado     </t>
  </si>
  <si>
    <t xml:space="preserve">  </t>
  </si>
  <si>
    <t xml:space="preserve">   Criterios de Decisión</t>
  </si>
  <si>
    <t>Devaluación</t>
  </si>
  <si>
    <t xml:space="preserve">  Rotación Inventarios (días)       </t>
  </si>
  <si>
    <t>Total Gastos</t>
  </si>
  <si>
    <t>Inversiones (Inicio Período)</t>
  </si>
  <si>
    <t>Materia Prima (Costo Promedio)</t>
  </si>
  <si>
    <t>Mano de Obra (Costo Promedio)</t>
  </si>
  <si>
    <t>$ / unid.</t>
  </si>
  <si>
    <t>Otros Costos de Fabricación</t>
  </si>
  <si>
    <t>Otros Costos</t>
  </si>
  <si>
    <t>Costos Producción Inventariables</t>
  </si>
  <si>
    <t>Gracia a Capital (Años)</t>
  </si>
  <si>
    <t>Plazo de la Deuda (Años)</t>
  </si>
  <si>
    <t>Inflación</t>
  </si>
  <si>
    <t>Total Ventas</t>
  </si>
  <si>
    <t>Costos Unitarios Materia Prima</t>
  </si>
  <si>
    <t>Costos Unitarios Mano de Obra</t>
  </si>
  <si>
    <t>Costos Variables Unitarios</t>
  </si>
  <si>
    <t>Renta Presuntiva sobre patrimonio Liquido</t>
  </si>
  <si>
    <t>icono</t>
  </si>
  <si>
    <t>Variacion Inv. Materias Primas e insumos</t>
  </si>
  <si>
    <t xml:space="preserve">  DTF</t>
  </si>
  <si>
    <t xml:space="preserve">Duración de la etapa improductiva del negocio ( fase de implementación).en meses  </t>
  </si>
  <si>
    <t xml:space="preserve">Nivel de endeudamiento inicial del negocio, teniendo en cuenta los recursos del fondo emprender. ( AFE/AT)  </t>
  </si>
  <si>
    <t xml:space="preserve">PRI (Periodo de recuperación de la inversión)  </t>
  </si>
  <si>
    <t xml:space="preserve">Tasa mínima de rendimiento a la que aspira el emprendedor </t>
  </si>
  <si>
    <t xml:space="preserve">TIR (Tasa Interna de Retorno) </t>
  </si>
  <si>
    <t xml:space="preserve">VAN (Valor actual neto) </t>
  </si>
  <si>
    <t xml:space="preserve">Periodo en el cual se plantea la segunda expansión del negocio ( Indique el mes) </t>
  </si>
  <si>
    <t xml:space="preserve">Periodo en el cual se plantea la primera expansión del negocio ( Indique el mes)  </t>
  </si>
  <si>
    <t>Cantidad  Vendida</t>
  </si>
  <si>
    <t xml:space="preserve">  Rotacion cartera (días)    </t>
  </si>
  <si>
    <t xml:space="preserve">COSTOS FIJOS </t>
  </si>
  <si>
    <t>GASTOS FIJOS</t>
  </si>
  <si>
    <t>TOTAL COSTOS  Y GASTOS FIJOS</t>
  </si>
  <si>
    <t>PRECIO DE VENTA PROMEDIO</t>
  </si>
  <si>
    <t>COSTO VARIABLE UNITARIO</t>
  </si>
  <si>
    <t>COSTOS FIFO/(PRECIO DE VENTA UNITARIO - COSTO VARIABLE UNITARIO)</t>
  </si>
  <si>
    <t>PUNTO DE EQUILIBRIO  =</t>
  </si>
  <si>
    <t>PUNTO DE EQUILIBRIO EN PESOS UNIDADES X PRECIO DE VENTA</t>
  </si>
  <si>
    <t>₌</t>
  </si>
  <si>
    <t>UNIDADES</t>
  </si>
  <si>
    <t>COSTOS DIRECTOS</t>
  </si>
  <si>
    <t xml:space="preserve">MANO DE OBRA </t>
  </si>
  <si>
    <t xml:space="preserve">TOTAL </t>
  </si>
  <si>
    <t>COSTOS INDIRECTOS</t>
  </si>
  <si>
    <t xml:space="preserve">DESCRIPCIÓN </t>
  </si>
  <si>
    <t>CANTIDAD</t>
  </si>
  <si>
    <t xml:space="preserve">VALOR </t>
  </si>
  <si>
    <t>PUBLICIDAD</t>
  </si>
  <si>
    <t>TOTAL</t>
  </si>
  <si>
    <t>MATERIA PRIMA</t>
  </si>
  <si>
    <t>PRECIO VENTA</t>
  </si>
  <si>
    <t>NOMBRE EMPLEADO</t>
  </si>
  <si>
    <t>DEVENGADO</t>
  </si>
  <si>
    <t>DEDUCCIONES</t>
  </si>
  <si>
    <t>NETO PAGADO</t>
  </si>
  <si>
    <t>RECIBÍ CONFORME</t>
  </si>
  <si>
    <t xml:space="preserve">ADMINISTRACIÓN </t>
  </si>
  <si>
    <t>SALARIO BÁSICO</t>
  </si>
  <si>
    <t>DIAS TRABAJADOS</t>
  </si>
  <si>
    <t>HORAS EXTRAS</t>
  </si>
  <si>
    <t>COMISIONES</t>
  </si>
  <si>
    <t>AUXILIO DE TRANSPORTE</t>
  </si>
  <si>
    <t>TOTAL DEVENGADO</t>
  </si>
  <si>
    <t xml:space="preserve">SALUD </t>
  </si>
  <si>
    <t>PENSIÓN</t>
  </si>
  <si>
    <t>TOTAL DEDUCCIONES</t>
  </si>
  <si>
    <t>APROPIACIONES</t>
  </si>
  <si>
    <t>CESANTIAS</t>
  </si>
  <si>
    <t>PRIMA</t>
  </si>
  <si>
    <t>VACACIONES</t>
  </si>
  <si>
    <t>INTERESES DE CESANTIAS</t>
  </si>
  <si>
    <t>CAJA DE COMPENSACIÓN FAMILIAR</t>
  </si>
  <si>
    <t>ICBF</t>
  </si>
  <si>
    <t>SENA</t>
  </si>
  <si>
    <t>ARL</t>
  </si>
  <si>
    <t xml:space="preserve">NÓMINA </t>
  </si>
  <si>
    <t>BASICO + AUXILIO DE TTE</t>
  </si>
  <si>
    <t>TOTAL SALARIO</t>
  </si>
  <si>
    <t xml:space="preserve">ANUAL </t>
  </si>
  <si>
    <t>TOTAL NÓMINA</t>
  </si>
  <si>
    <t xml:space="preserve"> LOS GASTOS DE ADMINISTRACION </t>
  </si>
  <si>
    <t>PAPELERIA</t>
  </si>
  <si>
    <t>VR. UNITARIO</t>
  </si>
  <si>
    <t>MENSUAL</t>
  </si>
  <si>
    <t xml:space="preserve">ARRIENDO LOCAL </t>
  </si>
  <si>
    <t>(ESFEROS, LAPIZ. RESALTADOR,ETC)</t>
  </si>
  <si>
    <t>ANUAL</t>
  </si>
  <si>
    <t xml:space="preserve">GASTOS DE ADMINISTRACION  </t>
  </si>
  <si>
    <t xml:space="preserve">NOMINA + SEVICIOS+PAPELERA </t>
  </si>
  <si>
    <t>SERVICIOS PUBLICOS</t>
  </si>
  <si>
    <t xml:space="preserve">MAQUINAS </t>
  </si>
  <si>
    <t>CARACTERÍSTICAS</t>
  </si>
  <si>
    <t>COSTO UNITARIO</t>
  </si>
  <si>
    <t>PRESUPUESTO</t>
  </si>
  <si>
    <t>Descripcion</t>
  </si>
  <si>
    <t>Cantidad</t>
  </si>
  <si>
    <t>Valor Unitario</t>
  </si>
  <si>
    <t>Valor Total</t>
  </si>
  <si>
    <t>Mesa de escritorio</t>
  </si>
  <si>
    <t>Silla de escritorio</t>
  </si>
  <si>
    <t>Impresora</t>
  </si>
  <si>
    <t>Archivador</t>
  </si>
  <si>
    <t>PUNTO DE EQUiLIBRIO</t>
  </si>
  <si>
    <t>*</t>
  </si>
  <si>
    <t xml:space="preserve">Producto </t>
  </si>
  <si>
    <t xml:space="preserve">Medios para dar a conocer el producto </t>
  </si>
  <si>
    <t>Cuña publicitaria</t>
  </si>
  <si>
    <t>Paquete básico comerciales</t>
  </si>
  <si>
    <t>Paquete promoción comerciales trimestral</t>
  </si>
  <si>
    <t>Paquete básico comerciales + cuñas</t>
  </si>
  <si>
    <t>Realización de comerciales</t>
  </si>
  <si>
    <t>Cubrimiento de eventos + una jornada</t>
  </si>
  <si>
    <t>Entrevistas independientes</t>
  </si>
  <si>
    <t>Acompañamiento durante grabación</t>
  </si>
  <si>
    <t>Precio por  producto / servicio</t>
  </si>
  <si>
    <t>Cantidades Vendida por producto</t>
  </si>
  <si>
    <t>Paquete promoción comerciales trimestrual</t>
  </si>
  <si>
    <t>Computador portátil</t>
  </si>
  <si>
    <t>Cámara De Video Panasonic Ag-ac90a Avccam Camcorder Con Zo</t>
  </si>
  <si>
    <t>Cámara de video profesional, de uso estacionario y para trabajo de campo.</t>
  </si>
  <si>
    <t>Micrófono Sennheiser Ew 100 Eng3 Inhalambrico</t>
  </si>
  <si>
    <t>Micrófono de solapa inalámbrico, destinado para uso de grabación en set cerrado.</t>
  </si>
  <si>
    <t>Trípode Beston-717 Para Cámaras Profesionales / Alt Máx 189cm - Negro</t>
  </si>
  <si>
    <t>Tripode de cámaras profesionales, para uso estacionario y trabajo de campo.</t>
  </si>
  <si>
    <t>Proam Usa Orion Dvc200 Dslr Cámara De Video Ji</t>
  </si>
  <si>
    <t>Grúa para cámara de video profesional, usada en set cerrado para paneos y encuadres de cámara.</t>
  </si>
  <si>
    <t>Pc Mac Intel I5, Nvidia 2gb, Imac 21 4k Amd Ssd Macbook Pro</t>
  </si>
  <si>
    <t>Computador con caracteristicas para edición, captura, render y almacenamiento de datos.</t>
  </si>
  <si>
    <t>Consola Mezclador Audio Behringer XENYXQ802USB</t>
  </si>
  <si>
    <t>Consola de audio para recibir el audio de los micrófonos de solapa.</t>
  </si>
  <si>
    <t>Blackmagic Design Intensity Shuttle for USB 3.0 (BINTSSHU)</t>
  </si>
  <si>
    <t>Tarjeta capturadora de video, conexión entre las cámaras de video y los micrófonos y el computador receptos.</t>
  </si>
  <si>
    <t>Cable Rca 2x1 3.8mt</t>
  </si>
  <si>
    <t>Cable RCA para conexiones entre cámara de video y consola de audio y video.</t>
  </si>
  <si>
    <t>Micrófono inalámbrico Takstar TS-6310HH</t>
  </si>
  <si>
    <t>Micrófonos inalámbricos para trabajo de campo en entrevistas.</t>
  </si>
  <si>
    <t>Limostudio Fotografía Estudio Video Foto Chromakey Pantalla</t>
  </si>
  <si>
    <t>Tela chromakey para edición del fondo de video del set de grabación.</t>
  </si>
  <si>
    <t>Sala modular Sammy cuero sintetico</t>
  </si>
  <si>
    <t>Inmobiliaría para el set de grabación.</t>
  </si>
  <si>
    <t>Mesa de Centro Spazzio Prisma</t>
  </si>
  <si>
    <t>Decoración para el set de grabación.</t>
  </si>
  <si>
    <t>RECARGAR TONER</t>
  </si>
  <si>
    <t>RESMA</t>
  </si>
  <si>
    <t>DIRECTOR DEL MAGAZINE</t>
  </si>
  <si>
    <t>OPERATIVA</t>
  </si>
  <si>
    <t>PERIODISTAS</t>
  </si>
  <si>
    <t>PRESENTADORES</t>
  </si>
  <si>
    <t>CAMARÓGRAFOS</t>
  </si>
  <si>
    <t>DISEÑADOR GRÁFICO</t>
  </si>
  <si>
    <t>ASISTENTE</t>
  </si>
  <si>
    <t>X</t>
  </si>
  <si>
    <t>=</t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</si>
</sst>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8" formatCode="_-&quot;$&quot;* #,##0_-;\-&quot;$&quot;* #,##0_-;_-&quot;$&quot;* &quot;-&quot;_-;_-@_-"/>
    <numFmt numFmtId="175" formatCode="_(* #,##0_);_(* \(#,##0\);_(* &quot;-&quot;_);_(@_)"/>
    <numFmt numFmtId="177" formatCode="_(* #,##0.00_);_(* \(#,##0.00\);_(* &quot;-&quot;??_);_(@_)"/>
    <numFmt numFmtId="191" formatCode="_-* #,##0.00\ _€_-;\-* #,##0.00\ _€_-;_-* &quot;-&quot;??\ _€_-;_-@_-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#,##0.0"/>
    <numFmt numFmtId="211" formatCode="_(* #,##0_);_(* \(#,##0\);_(* &quot;-&quot;??_);_(@_)"/>
    <numFmt numFmtId="212" formatCode="0.0%"/>
    <numFmt numFmtId="213" formatCode="_-* #,##0\ _p_t_a_-;\-* #,##0\ _p_t_a_-;_-* &quot;-&quot;??\ _p_t_a_-;_-@_-"/>
    <numFmt numFmtId="214" formatCode="#,##0&quot; mes&quot;"/>
    <numFmt numFmtId="225" formatCode="0.0"/>
    <numFmt numFmtId="230" formatCode="_(&quot;$&quot;\ * #,##0_);_(&quot;$&quot;\ * \(#,##0\);_(&quot;$&quot;\ * &quot;-&quot;??_);_(@_)"/>
    <numFmt numFmtId="231" formatCode="_-* #,##0\ _€_-;\-* #,##0\ _€_-;_-* &quot;-&quot;??\ _€_-;_-@_-"/>
    <numFmt numFmtId="232" formatCode="_-[$$-240A]* #,##0.00_-;\-[$$-240A]* #,##0.00_-;_-[$$-240A]* &quot;-&quot;??_-;_-@_-"/>
  </numFmts>
  <fonts count="7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9"/>
      <name val="Tahoma"/>
      <family val="2"/>
    </font>
    <font>
      <b/>
      <sz val="10"/>
      <color indexed="43"/>
      <name val="Tahoma"/>
      <family val="2"/>
    </font>
    <font>
      <sz val="10"/>
      <color indexed="48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12"/>
      <name val="Calibri"/>
      <family val="2"/>
    </font>
    <font>
      <sz val="9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6"/>
      <color indexed="63"/>
      <name val="Roboto"/>
      <family val="0"/>
    </font>
    <font>
      <b/>
      <sz val="16"/>
      <color indexed="8"/>
      <name val="Roboto"/>
      <family val="0"/>
    </font>
    <font>
      <sz val="16"/>
      <color indexed="63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6"/>
      <color rgb="FF333333"/>
      <name val="Roboto"/>
      <family val="0"/>
    </font>
    <font>
      <b/>
      <sz val="16"/>
      <color rgb="FF000000"/>
      <name val="Roboto"/>
      <family val="0"/>
    </font>
    <font>
      <sz val="16"/>
      <color rgb="FF333333"/>
      <name val="Roboto"/>
      <family val="0"/>
    </font>
    <font>
      <b/>
      <sz val="16"/>
      <color rgb="FF4D4D4D"/>
      <name val="Roboto"/>
      <family val="0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3" fontId="0" fillId="0" borderId="10" xfId="55" applyNumberFormat="1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0" xfId="55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55" applyNumberFormat="1" applyFont="1" applyFill="1" applyBorder="1" applyAlignment="1" applyProtection="1">
      <alignment horizontal="center"/>
      <protection hidden="1"/>
    </xf>
    <xf numFmtId="211" fontId="0" fillId="0" borderId="10" xfId="55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211" fontId="3" fillId="33" borderId="0" xfId="55" applyNumberFormat="1" applyFont="1" applyFill="1" applyBorder="1" applyAlignment="1" applyProtection="1">
      <alignment horizontal="left"/>
      <protection hidden="1"/>
    </xf>
    <xf numFmtId="211" fontId="0" fillId="33" borderId="0" xfId="55" applyNumberFormat="1" applyFill="1" applyBorder="1" applyAlignment="1" applyProtection="1">
      <alignment/>
      <protection hidden="1"/>
    </xf>
    <xf numFmtId="10" fontId="0" fillId="0" borderId="10" xfId="63" applyNumberFormat="1" applyBorder="1" applyAlignment="1" applyProtection="1">
      <alignment/>
      <protection hidden="1"/>
    </xf>
    <xf numFmtId="211" fontId="4" fillId="0" borderId="0" xfId="55" applyNumberFormat="1" applyFont="1" applyBorder="1" applyAlignment="1" applyProtection="1">
      <alignment/>
      <protection hidden="1"/>
    </xf>
    <xf numFmtId="211" fontId="4" fillId="0" borderId="0" xfId="55" applyNumberFormat="1" applyFont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3" fontId="5" fillId="0" borderId="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center"/>
      <protection hidden="1"/>
    </xf>
    <xf numFmtId="211" fontId="0" fillId="0" borderId="10" xfId="55" applyNumberFormat="1" applyFont="1" applyBorder="1" applyAlignment="1" applyProtection="1">
      <alignment horizontal="left" indent="1"/>
      <protection hidden="1"/>
    </xf>
    <xf numFmtId="211" fontId="0" fillId="0" borderId="0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8" fillId="35" borderId="10" xfId="55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hidden="1"/>
    </xf>
    <xf numFmtId="0" fontId="10" fillId="35" borderId="11" xfId="0" applyFont="1" applyFill="1" applyBorder="1" applyAlignment="1" applyProtection="1">
      <alignment horizontal="center"/>
      <protection hidden="1" locked="0"/>
    </xf>
    <xf numFmtId="0" fontId="11" fillId="34" borderId="10" xfId="0" applyFont="1" applyFill="1" applyBorder="1" applyAlignment="1" applyProtection="1">
      <alignment horizontal="center"/>
      <protection hidden="1"/>
    </xf>
    <xf numFmtId="175" fontId="11" fillId="0" borderId="0" xfId="55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9" fillId="0" borderId="13" xfId="0" applyFont="1" applyFill="1" applyBorder="1" applyAlignment="1" applyProtection="1">
      <alignment horizontal="center"/>
      <protection hidden="1"/>
    </xf>
    <xf numFmtId="175" fontId="9" fillId="0" borderId="11" xfId="55" applyNumberFormat="1" applyFont="1" applyBorder="1" applyAlignment="1" applyProtection="1">
      <alignment/>
      <protection hidden="1"/>
    </xf>
    <xf numFmtId="175" fontId="9" fillId="0" borderId="10" xfId="55" applyNumberFormat="1" applyFont="1" applyFill="1" applyBorder="1" applyAlignment="1" applyProtection="1">
      <alignment horizontal="center"/>
      <protection hidden="1"/>
    </xf>
    <xf numFmtId="10" fontId="8" fillId="35" borderId="10" xfId="0" applyNumberFormat="1" applyFont="1" applyFill="1" applyBorder="1" applyAlignment="1" applyProtection="1">
      <alignment horizontal="center"/>
      <protection locked="0"/>
    </xf>
    <xf numFmtId="9" fontId="9" fillId="0" borderId="0" xfId="0" applyNumberFormat="1" applyFont="1" applyBorder="1" applyAlignment="1" applyProtection="1">
      <alignment/>
      <protection hidden="1"/>
    </xf>
    <xf numFmtId="10" fontId="8" fillId="35" borderId="11" xfId="0" applyNumberFormat="1" applyFont="1" applyFill="1" applyBorder="1" applyAlignment="1" applyProtection="1">
      <alignment horizontal="center"/>
      <protection locked="0"/>
    </xf>
    <xf numFmtId="175" fontId="9" fillId="0" borderId="10" xfId="55" applyNumberFormat="1" applyFont="1" applyBorder="1" applyAlignment="1" applyProtection="1">
      <alignment/>
      <protection hidden="1"/>
    </xf>
    <xf numFmtId="175" fontId="9" fillId="0" borderId="11" xfId="55" applyNumberFormat="1" applyFont="1" applyFill="1" applyBorder="1" applyAlignment="1" applyProtection="1">
      <alignment horizontal="center"/>
      <protection hidden="1"/>
    </xf>
    <xf numFmtId="10" fontId="9" fillId="0" borderId="11" xfId="0" applyNumberFormat="1" applyFont="1" applyFill="1" applyBorder="1" applyAlignment="1" applyProtection="1">
      <alignment horizontal="center"/>
      <protection/>
    </xf>
    <xf numFmtId="10" fontId="9" fillId="0" borderId="0" xfId="0" applyNumberFormat="1" applyFont="1" applyBorder="1" applyAlignment="1" applyProtection="1">
      <alignment/>
      <protection hidden="1"/>
    </xf>
    <xf numFmtId="10" fontId="8" fillId="35" borderId="10" xfId="63" applyNumberFormat="1" applyFont="1" applyFill="1" applyBorder="1" applyAlignment="1" applyProtection="1">
      <alignment horizontal="center"/>
      <protection locked="0"/>
    </xf>
    <xf numFmtId="211" fontId="9" fillId="0" borderId="0" xfId="55" applyNumberFormat="1" applyFont="1" applyBorder="1" applyAlignment="1" applyProtection="1">
      <alignment/>
      <protection hidden="1"/>
    </xf>
    <xf numFmtId="10" fontId="9" fillId="0" borderId="0" xfId="0" applyNumberFormat="1" applyFont="1" applyBorder="1" applyAlignment="1" applyProtection="1">
      <alignment horizontal="center"/>
      <protection hidden="1"/>
    </xf>
    <xf numFmtId="10" fontId="9" fillId="0" borderId="0" xfId="63" applyNumberFormat="1" applyFont="1" applyBorder="1" applyAlignment="1" applyProtection="1">
      <alignment horizontal="center"/>
      <protection hidden="1"/>
    </xf>
    <xf numFmtId="175" fontId="9" fillId="0" borderId="10" xfId="55" applyNumberFormat="1" applyFont="1" applyBorder="1" applyAlignment="1" applyProtection="1">
      <alignment horizontal="left"/>
      <protection hidden="1"/>
    </xf>
    <xf numFmtId="211" fontId="9" fillId="0" borderId="0" xfId="55" applyNumberFormat="1" applyFont="1" applyBorder="1" applyAlignment="1" applyProtection="1">
      <alignment horizontal="center"/>
      <protection hidden="1"/>
    </xf>
    <xf numFmtId="210" fontId="9" fillId="0" borderId="10" xfId="55" applyNumberFormat="1" applyFont="1" applyFill="1" applyBorder="1" applyAlignment="1" applyProtection="1">
      <alignment horizontal="center"/>
      <protection/>
    </xf>
    <xf numFmtId="3" fontId="9" fillId="0" borderId="10" xfId="55" applyNumberFormat="1" applyFont="1" applyFill="1" applyBorder="1" applyAlignment="1" applyProtection="1">
      <alignment horizontal="center"/>
      <protection/>
    </xf>
    <xf numFmtId="210" fontId="9" fillId="0" borderId="10" xfId="55" applyNumberFormat="1" applyFont="1" applyBorder="1" applyAlignment="1" applyProtection="1">
      <alignment horizontal="center"/>
      <protection hidden="1"/>
    </xf>
    <xf numFmtId="212" fontId="8" fillId="35" borderId="10" xfId="63" applyNumberFormat="1" applyFont="1" applyFill="1" applyBorder="1" applyAlignment="1" applyProtection="1">
      <alignment horizontal="center"/>
      <protection locked="0"/>
    </xf>
    <xf numFmtId="3" fontId="9" fillId="0" borderId="10" xfId="55" applyNumberFormat="1" applyFont="1" applyBorder="1" applyAlignment="1" applyProtection="1">
      <alignment horizontal="center"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9" fillId="0" borderId="10" xfId="55" applyNumberFormat="1" applyFont="1" applyFill="1" applyBorder="1" applyAlignment="1" applyProtection="1">
      <alignment horizontal="center"/>
      <protection hidden="1"/>
    </xf>
    <xf numFmtId="175" fontId="9" fillId="0" borderId="12" xfId="55" applyNumberFormat="1" applyFont="1" applyBorder="1" applyAlignment="1" applyProtection="1">
      <alignment/>
      <protection hidden="1"/>
    </xf>
    <xf numFmtId="10" fontId="9" fillId="0" borderId="10" xfId="63" applyNumberFormat="1" applyFont="1" applyBorder="1" applyAlignment="1" applyProtection="1">
      <alignment horizontal="center"/>
      <protection hidden="1"/>
    </xf>
    <xf numFmtId="175" fontId="9" fillId="0" borderId="0" xfId="55" applyNumberFormat="1" applyFont="1" applyBorder="1" applyAlignment="1" applyProtection="1">
      <alignment/>
      <protection hidden="1"/>
    </xf>
    <xf numFmtId="9" fontId="8" fillId="35" borderId="10" xfId="63" applyFont="1" applyFill="1" applyBorder="1" applyAlignment="1" applyProtection="1">
      <alignment horizontal="center"/>
      <protection locked="0"/>
    </xf>
    <xf numFmtId="213" fontId="9" fillId="0" borderId="10" xfId="49" applyNumberFormat="1" applyFont="1" applyBorder="1" applyAlignment="1" applyProtection="1">
      <alignment horizontal="center"/>
      <protection hidden="1"/>
    </xf>
    <xf numFmtId="3" fontId="9" fillId="0" borderId="0" xfId="55" applyNumberFormat="1" applyFont="1" applyFill="1" applyBorder="1" applyAlignment="1" applyProtection="1">
      <alignment horizontal="center"/>
      <protection hidden="1"/>
    </xf>
    <xf numFmtId="175" fontId="13" fillId="0" borderId="10" xfId="55" applyNumberFormat="1" applyFont="1" applyBorder="1" applyAlignment="1" applyProtection="1">
      <alignment horizontal="left" indent="1"/>
      <protection hidden="1"/>
    </xf>
    <xf numFmtId="175" fontId="9" fillId="0" borderId="0" xfId="55" applyNumberFormat="1" applyFont="1" applyFill="1" applyBorder="1" applyAlignment="1" applyProtection="1">
      <alignment horizontal="center"/>
      <protection hidden="1"/>
    </xf>
    <xf numFmtId="9" fontId="8" fillId="35" borderId="10" xfId="63" applyNumberFormat="1" applyFont="1" applyFill="1" applyBorder="1" applyAlignment="1" applyProtection="1">
      <alignment horizontal="center"/>
      <protection hidden="1" locked="0"/>
    </xf>
    <xf numFmtId="3" fontId="9" fillId="0" borderId="10" xfId="0" applyNumberFormat="1" applyFont="1" applyBorder="1" applyAlignment="1" applyProtection="1">
      <alignment horizontal="center"/>
      <protection hidden="1"/>
    </xf>
    <xf numFmtId="3" fontId="8" fillId="35" borderId="14" xfId="0" applyNumberFormat="1" applyFont="1" applyFill="1" applyBorder="1" applyAlignment="1" applyProtection="1">
      <alignment horizontal="center"/>
      <protection locked="0"/>
    </xf>
    <xf numFmtId="3" fontId="8" fillId="35" borderId="1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hidden="1"/>
    </xf>
    <xf numFmtId="175" fontId="9" fillId="0" borderId="16" xfId="55" applyNumberFormat="1" applyFont="1" applyFill="1" applyBorder="1" applyAlignment="1" applyProtection="1">
      <alignment horizontal="center"/>
      <protection hidden="1"/>
    </xf>
    <xf numFmtId="211" fontId="9" fillId="0" borderId="10" xfId="55" applyNumberFormat="1" applyFont="1" applyFill="1" applyBorder="1" applyAlignment="1" applyProtection="1">
      <alignment horizontal="right"/>
      <protection hidden="1"/>
    </xf>
    <xf numFmtId="175" fontId="14" fillId="0" borderId="0" xfId="55" applyNumberFormat="1" applyFont="1" applyFill="1" applyBorder="1" applyAlignment="1" applyProtection="1">
      <alignment horizontal="left"/>
      <protection hidden="1"/>
    </xf>
    <xf numFmtId="175" fontId="11" fillId="34" borderId="10" xfId="52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175" fontId="9" fillId="0" borderId="0" xfId="52" applyFont="1" applyBorder="1" applyAlignment="1" applyProtection="1">
      <alignment/>
      <protection hidden="1"/>
    </xf>
    <xf numFmtId="175" fontId="9" fillId="0" borderId="10" xfId="52" applyFont="1" applyBorder="1" applyAlignment="1" applyProtection="1">
      <alignment/>
      <protection hidden="1"/>
    </xf>
    <xf numFmtId="0" fontId="10" fillId="35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hidden="1"/>
    </xf>
    <xf numFmtId="9" fontId="10" fillId="35" borderId="10" xfId="63" applyFont="1" applyFill="1" applyBorder="1" applyAlignment="1" applyProtection="1">
      <alignment horizontal="center"/>
      <protection locked="0"/>
    </xf>
    <xf numFmtId="3" fontId="10" fillId="35" borderId="10" xfId="55" applyNumberFormat="1" applyFont="1" applyFill="1" applyBorder="1" applyAlignment="1" applyProtection="1">
      <alignment horizontal="center"/>
      <protection locked="0"/>
    </xf>
    <xf numFmtId="3" fontId="10" fillId="35" borderId="10" xfId="0" applyNumberFormat="1" applyFont="1" applyFill="1" applyBorder="1" applyAlignment="1" applyProtection="1">
      <alignment horizontal="center"/>
      <protection locked="0"/>
    </xf>
    <xf numFmtId="211" fontId="9" fillId="0" borderId="0" xfId="55" applyNumberFormat="1" applyFont="1" applyAlignment="1" applyProtection="1">
      <alignment vertical="center"/>
      <protection hidden="1"/>
    </xf>
    <xf numFmtId="0" fontId="11" fillId="34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75" fontId="11" fillId="0" borderId="0" xfId="55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11" fontId="9" fillId="0" borderId="10" xfId="55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0" fontId="9" fillId="0" borderId="10" xfId="0" applyNumberFormat="1" applyFont="1" applyBorder="1" applyAlignment="1" applyProtection="1">
      <alignment horizontal="center"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212" fontId="9" fillId="0" borderId="10" xfId="63" applyNumberFormat="1" applyFont="1" applyBorder="1" applyAlignment="1" applyProtection="1">
      <alignment horizontal="center" vertical="center"/>
      <protection hidden="1"/>
    </xf>
    <xf numFmtId="3" fontId="9" fillId="0" borderId="10" xfId="0" applyNumberFormat="1" applyFont="1" applyBorder="1" applyAlignment="1" applyProtection="1">
      <alignment horizontal="center" vertical="center"/>
      <protection hidden="1"/>
    </xf>
    <xf numFmtId="3" fontId="11" fillId="0" borderId="0" xfId="55" applyNumberFormat="1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4" fontId="9" fillId="0" borderId="10" xfId="0" applyNumberFormat="1" applyFont="1" applyBorder="1" applyAlignment="1" applyProtection="1">
      <alignment horizontal="center" vertical="center"/>
      <protection hidden="1"/>
    </xf>
    <xf numFmtId="210" fontId="9" fillId="0" borderId="10" xfId="0" applyNumberFormat="1" applyFont="1" applyBorder="1" applyAlignment="1" applyProtection="1">
      <alignment horizontal="center" vertical="center"/>
      <protection hidden="1"/>
    </xf>
    <xf numFmtId="3" fontId="9" fillId="0" borderId="0" xfId="0" applyNumberFormat="1" applyFont="1" applyAlignment="1" applyProtection="1">
      <alignment horizontal="center" vertical="center"/>
      <protection hidden="1"/>
    </xf>
    <xf numFmtId="3" fontId="9" fillId="36" borderId="10" xfId="0" applyNumberFormat="1" applyFont="1" applyFill="1" applyBorder="1" applyAlignment="1" applyProtection="1">
      <alignment horizontal="center" vertical="center"/>
      <protection hidden="1"/>
    </xf>
    <xf numFmtId="9" fontId="9" fillId="0" borderId="10" xfId="63" applyFont="1" applyFill="1" applyBorder="1" applyAlignment="1" applyProtection="1">
      <alignment horizontal="center" vertical="center"/>
      <protection hidden="1" locked="0"/>
    </xf>
    <xf numFmtId="0" fontId="9" fillId="0" borderId="10" xfId="55" applyNumberFormat="1" applyFont="1" applyBorder="1" applyAlignment="1" applyProtection="1">
      <alignment horizontal="left" vertical="center" wrapText="1"/>
      <protection hidden="1"/>
    </xf>
    <xf numFmtId="9" fontId="8" fillId="35" borderId="10" xfId="63" applyFont="1" applyFill="1" applyBorder="1" applyAlignment="1" applyProtection="1">
      <alignment horizontal="center" vertical="center"/>
      <protection hidden="1" locked="0"/>
    </xf>
    <xf numFmtId="3" fontId="9" fillId="0" borderId="0" xfId="0" applyNumberFormat="1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0" fontId="9" fillId="0" borderId="10" xfId="63" applyNumberFormat="1" applyFont="1" applyBorder="1" applyAlignment="1" applyProtection="1">
      <alignment horizontal="center" vertical="center" wrapText="1"/>
      <protection hidden="1"/>
    </xf>
    <xf numFmtId="3" fontId="9" fillId="0" borderId="10" xfId="0" applyNumberFormat="1" applyFont="1" applyBorder="1" applyAlignment="1" applyProtection="1">
      <alignment horizontal="center" vertical="center" wrapText="1"/>
      <protection hidden="1"/>
    </xf>
    <xf numFmtId="4" fontId="9" fillId="0" borderId="10" xfId="0" applyNumberFormat="1" applyFont="1" applyBorder="1" applyAlignment="1" applyProtection="1">
      <alignment horizontal="center" vertical="center" wrapText="1"/>
      <protection hidden="1"/>
    </xf>
    <xf numFmtId="214" fontId="8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211" fontId="9" fillId="0" borderId="0" xfId="55" applyNumberFormat="1" applyFont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211" fontId="11" fillId="34" borderId="0" xfId="55" applyNumberFormat="1" applyFont="1" applyFill="1" applyBorder="1" applyAlignment="1" applyProtection="1">
      <alignment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/>
      <protection hidden="1"/>
    </xf>
    <xf numFmtId="211" fontId="9" fillId="0" borderId="10" xfId="55" applyNumberFormat="1" applyFont="1" applyBorder="1" applyAlignment="1" applyProtection="1">
      <alignment/>
      <protection hidden="1"/>
    </xf>
    <xf numFmtId="211" fontId="16" fillId="0" borderId="10" xfId="55" applyNumberFormat="1" applyFont="1" applyFill="1" applyBorder="1" applyAlignment="1" applyProtection="1">
      <alignment/>
      <protection hidden="1"/>
    </xf>
    <xf numFmtId="3" fontId="10" fillId="0" borderId="10" xfId="55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/>
      <protection hidden="1"/>
    </xf>
    <xf numFmtId="3" fontId="9" fillId="0" borderId="0" xfId="0" applyNumberFormat="1" applyFont="1" applyBorder="1" applyAlignment="1" applyProtection="1">
      <alignment horizontal="center"/>
      <protection hidden="1"/>
    </xf>
    <xf numFmtId="211" fontId="13" fillId="0" borderId="10" xfId="55" applyNumberFormat="1" applyFont="1" applyBorder="1" applyAlignment="1" applyProtection="1">
      <alignment horizontal="left" indent="1"/>
      <protection hidden="1"/>
    </xf>
    <xf numFmtId="3" fontId="13" fillId="0" borderId="10" xfId="55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211" fontId="16" fillId="0" borderId="0" xfId="55" applyNumberFormat="1" applyFont="1" applyFill="1" applyAlignment="1" applyProtection="1">
      <alignment/>
      <protection hidden="1"/>
    </xf>
    <xf numFmtId="3" fontId="10" fillId="0" borderId="0" xfId="55" applyNumberFormat="1" applyFont="1" applyFill="1" applyAlignment="1" applyProtection="1">
      <alignment horizontal="center"/>
      <protection hidden="1"/>
    </xf>
    <xf numFmtId="211" fontId="15" fillId="0" borderId="10" xfId="55" applyNumberFormat="1" applyFont="1" applyBorder="1" applyAlignment="1" applyProtection="1">
      <alignment/>
      <protection hidden="1"/>
    </xf>
    <xf numFmtId="3" fontId="15" fillId="0" borderId="10" xfId="55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177" fontId="9" fillId="0" borderId="0" xfId="55" applyFont="1" applyAlignment="1" applyProtection="1">
      <alignment/>
      <protection hidden="1"/>
    </xf>
    <xf numFmtId="177" fontId="9" fillId="0" borderId="10" xfId="55" applyFont="1" applyBorder="1" applyAlignment="1" applyProtection="1">
      <alignment horizontal="left" indent="1"/>
      <protection hidden="1"/>
    </xf>
    <xf numFmtId="177" fontId="9" fillId="0" borderId="10" xfId="55" applyFont="1" applyBorder="1" applyAlignment="1" applyProtection="1" quotePrefix="1">
      <alignment horizontal="left" indent="1"/>
      <protection hidden="1"/>
    </xf>
    <xf numFmtId="177" fontId="15" fillId="0" borderId="10" xfId="55" applyFont="1" applyBorder="1" applyAlignment="1" applyProtection="1">
      <alignment/>
      <protection hidden="1"/>
    </xf>
    <xf numFmtId="177" fontId="15" fillId="0" borderId="10" xfId="55" applyFont="1" applyBorder="1" applyAlignment="1" applyProtection="1" quotePrefix="1">
      <alignment horizontal="left"/>
      <protection hidden="1"/>
    </xf>
    <xf numFmtId="177" fontId="9" fillId="0" borderId="10" xfId="55" applyFont="1" applyBorder="1" applyAlignment="1" applyProtection="1">
      <alignment/>
      <protection hidden="1"/>
    </xf>
    <xf numFmtId="177" fontId="9" fillId="0" borderId="10" xfId="55" applyFont="1" applyBorder="1" applyAlignment="1" applyProtection="1" quotePrefix="1">
      <alignment horizontal="left"/>
      <protection hidden="1"/>
    </xf>
    <xf numFmtId="177" fontId="15" fillId="0" borderId="10" xfId="55" applyFont="1" applyBorder="1" applyAlignment="1" applyProtection="1">
      <alignment horizontal="left"/>
      <protection hidden="1"/>
    </xf>
    <xf numFmtId="211" fontId="9" fillId="0" borderId="0" xfId="55" applyNumberFormat="1" applyFont="1" applyAlignment="1" applyProtection="1">
      <alignment horizontal="center"/>
      <protection hidden="1"/>
    </xf>
    <xf numFmtId="175" fontId="9" fillId="0" borderId="0" xfId="55" applyNumberFormat="1" applyFont="1" applyAlignment="1" applyProtection="1">
      <alignment/>
      <protection hidden="1"/>
    </xf>
    <xf numFmtId="10" fontId="9" fillId="0" borderId="0" xfId="0" applyNumberFormat="1" applyFont="1" applyAlignment="1" applyProtection="1">
      <alignment horizontal="center"/>
      <protection hidden="1"/>
    </xf>
    <xf numFmtId="10" fontId="9" fillId="0" borderId="0" xfId="55" applyNumberFormat="1" applyFont="1" applyAlignment="1" applyProtection="1">
      <alignment horizontal="center"/>
      <protection hidden="1"/>
    </xf>
    <xf numFmtId="1" fontId="11" fillId="34" borderId="0" xfId="0" applyNumberFormat="1" applyFont="1" applyFill="1" applyBorder="1" applyAlignment="1" applyProtection="1">
      <alignment horizontal="center"/>
      <protection hidden="1"/>
    </xf>
    <xf numFmtId="211" fontId="9" fillId="0" borderId="10" xfId="55" applyNumberFormat="1" applyFont="1" applyBorder="1" applyAlignment="1" applyProtection="1" quotePrefix="1">
      <alignment horizontal="left"/>
      <protection hidden="1"/>
    </xf>
    <xf numFmtId="3" fontId="9" fillId="0" borderId="17" xfId="55" applyNumberFormat="1" applyFont="1" applyFill="1" applyBorder="1" applyAlignment="1" applyProtection="1">
      <alignment horizontal="center"/>
      <protection hidden="1"/>
    </xf>
    <xf numFmtId="3" fontId="15" fillId="0" borderId="17" xfId="55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3" fontId="9" fillId="0" borderId="17" xfId="55" applyNumberFormat="1" applyFont="1" applyBorder="1" applyAlignment="1" applyProtection="1">
      <alignment horizontal="center"/>
      <protection hidden="1"/>
    </xf>
    <xf numFmtId="211" fontId="15" fillId="0" borderId="10" xfId="55" applyNumberFormat="1" applyFont="1" applyBorder="1" applyAlignment="1" applyProtection="1" quotePrefix="1">
      <alignment horizontal="left"/>
      <protection hidden="1"/>
    </xf>
    <xf numFmtId="211" fontId="15" fillId="0" borderId="10" xfId="55" applyNumberFormat="1" applyFont="1" applyBorder="1" applyAlignment="1" applyProtection="1">
      <alignment horizontal="left"/>
      <protection hidden="1"/>
    </xf>
    <xf numFmtId="175" fontId="9" fillId="0" borderId="0" xfId="52" applyFont="1" applyBorder="1" applyAlignment="1" applyProtection="1">
      <alignment horizontal="center"/>
      <protection hidden="1"/>
    </xf>
    <xf numFmtId="211" fontId="15" fillId="0" borderId="0" xfId="55" applyNumberFormat="1" applyFont="1" applyFill="1" applyBorder="1" applyAlignment="1" applyProtection="1">
      <alignment/>
      <protection hidden="1"/>
    </xf>
    <xf numFmtId="3" fontId="11" fillId="37" borderId="0" xfId="52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175" fontId="12" fillId="38" borderId="18" xfId="55" applyNumberFormat="1" applyFont="1" applyFill="1" applyBorder="1" applyAlignment="1" applyProtection="1">
      <alignment horizontal="left" indent="1"/>
      <protection hidden="1"/>
    </xf>
    <xf numFmtId="0" fontId="11" fillId="39" borderId="14" xfId="0" applyFont="1" applyFill="1" applyBorder="1" applyAlignment="1" applyProtection="1">
      <alignment horizontal="center"/>
      <protection hidden="1"/>
    </xf>
    <xf numFmtId="0" fontId="11" fillId="39" borderId="14" xfId="0" applyFont="1" applyFill="1" applyBorder="1" applyAlignment="1" applyProtection="1">
      <alignment horizontal="left"/>
      <protection hidden="1"/>
    </xf>
    <xf numFmtId="209" fontId="9" fillId="0" borderId="0" xfId="49" applyFont="1" applyBorder="1" applyAlignment="1" applyProtection="1">
      <alignment/>
      <protection hidden="1"/>
    </xf>
    <xf numFmtId="9" fontId="9" fillId="0" borderId="0" xfId="63" applyFont="1" applyBorder="1" applyAlignment="1" applyProtection="1">
      <alignment horizontal="center"/>
      <protection hidden="1"/>
    </xf>
    <xf numFmtId="0" fontId="63" fillId="0" borderId="0" xfId="0" applyFont="1" applyFill="1" applyBorder="1" applyAlignment="1" applyProtection="1">
      <alignment horizontal="center"/>
      <protection hidden="1"/>
    </xf>
    <xf numFmtId="209" fontId="9" fillId="0" borderId="0" xfId="49" applyFont="1" applyBorder="1" applyAlignment="1" applyProtection="1">
      <alignment horizontal="center"/>
      <protection hidden="1"/>
    </xf>
    <xf numFmtId="177" fontId="9" fillId="0" borderId="0" xfId="55" applyNumberFormat="1" applyFont="1" applyBorder="1" applyAlignment="1" applyProtection="1">
      <alignment/>
      <protection hidden="1"/>
    </xf>
    <xf numFmtId="177" fontId="9" fillId="0" borderId="0" xfId="55" applyNumberFormat="1" applyFont="1" applyBorder="1" applyAlignment="1" applyProtection="1">
      <alignment horizontal="center"/>
      <protection hidden="1"/>
    </xf>
    <xf numFmtId="10" fontId="9" fillId="0" borderId="0" xfId="63" applyNumberFormat="1" applyFont="1" applyBorder="1" applyAlignment="1" applyProtection="1">
      <alignment/>
      <protection hidden="1"/>
    </xf>
    <xf numFmtId="213" fontId="9" fillId="0" borderId="0" xfId="49" applyNumberFormat="1" applyFont="1" applyBorder="1" applyAlignment="1" applyProtection="1">
      <alignment horizontal="right"/>
      <protection hidden="1"/>
    </xf>
    <xf numFmtId="4" fontId="9" fillId="0" borderId="0" xfId="0" applyNumberFormat="1" applyFont="1" applyBorder="1" applyAlignment="1" applyProtection="1">
      <alignment/>
      <protection hidden="1"/>
    </xf>
    <xf numFmtId="211" fontId="9" fillId="0" borderId="0" xfId="0" applyNumberFormat="1" applyFont="1" applyBorder="1" applyAlignment="1" applyProtection="1">
      <alignment/>
      <protection hidden="1"/>
    </xf>
    <xf numFmtId="9" fontId="9" fillId="0" borderId="10" xfId="63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0" fontId="17" fillId="0" borderId="0" xfId="0" applyFont="1" applyAlignment="1">
      <alignment/>
    </xf>
    <xf numFmtId="225" fontId="0" fillId="0" borderId="0" xfId="0" applyNumberFormat="1" applyAlignment="1">
      <alignment/>
    </xf>
    <xf numFmtId="0" fontId="0" fillId="0" borderId="0" xfId="0" applyFont="1" applyAlignment="1">
      <alignment/>
    </xf>
    <xf numFmtId="225" fontId="0" fillId="0" borderId="0" xfId="0" applyNumberFormat="1" applyFont="1" applyAlignment="1">
      <alignment/>
    </xf>
    <xf numFmtId="0" fontId="64" fillId="0" borderId="0" xfId="0" applyFont="1" applyAlignment="1">
      <alignment/>
    </xf>
    <xf numFmtId="175" fontId="9" fillId="40" borderId="20" xfId="55" applyNumberFormat="1" applyFont="1" applyFill="1" applyBorder="1" applyAlignment="1" applyProtection="1">
      <alignment/>
      <protection hidden="1"/>
    </xf>
    <xf numFmtId="0" fontId="9" fillId="40" borderId="0" xfId="0" applyFont="1" applyFill="1" applyBorder="1" applyAlignment="1" applyProtection="1">
      <alignment/>
      <protection hidden="1"/>
    </xf>
    <xf numFmtId="0" fontId="11" fillId="39" borderId="21" xfId="0" applyFont="1" applyFill="1" applyBorder="1" applyAlignment="1" applyProtection="1">
      <alignment horizontal="center"/>
      <protection hidden="1"/>
    </xf>
    <xf numFmtId="0" fontId="10" fillId="35" borderId="22" xfId="0" applyFont="1" applyFill="1" applyBorder="1" applyAlignment="1" applyProtection="1">
      <alignment horizontal="center"/>
      <protection hidden="1" locked="0"/>
    </xf>
    <xf numFmtId="0" fontId="10" fillId="35" borderId="23" xfId="0" applyFont="1" applyFill="1" applyBorder="1" applyAlignment="1" applyProtection="1">
      <alignment horizontal="center"/>
      <protection hidden="1" locked="0"/>
    </xf>
    <xf numFmtId="0" fontId="10" fillId="35" borderId="24" xfId="0" applyFont="1" applyFill="1" applyBorder="1" applyAlignment="1" applyProtection="1">
      <alignment horizontal="center"/>
      <protection hidden="1" locked="0"/>
    </xf>
    <xf numFmtId="0" fontId="11" fillId="39" borderId="21" xfId="0" applyFont="1" applyFill="1" applyBorder="1" applyAlignment="1" applyProtection="1">
      <alignment horizontal="left"/>
      <protection hidden="1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07" fontId="0" fillId="0" borderId="10" xfId="51" applyFont="1" applyFill="1" applyBorder="1" applyAlignment="1">
      <alignment horizontal="left" vertical="center" wrapText="1"/>
    </xf>
    <xf numFmtId="213" fontId="0" fillId="0" borderId="26" xfId="53" applyNumberFormat="1" applyFont="1" applyFill="1" applyBorder="1" applyAlignment="1">
      <alignment vertical="center" wrapText="1"/>
    </xf>
    <xf numFmtId="213" fontId="5" fillId="0" borderId="27" xfId="0" applyNumberFormat="1" applyFont="1" applyBorder="1" applyAlignment="1">
      <alignment/>
    </xf>
    <xf numFmtId="21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9" fillId="40" borderId="10" xfId="55" applyNumberFormat="1" applyFont="1" applyFill="1" applyBorder="1" applyAlignment="1" applyProtection="1">
      <alignment horizontal="center"/>
      <protection locked="0"/>
    </xf>
    <xf numFmtId="0" fontId="65" fillId="16" borderId="10" xfId="0" applyFont="1" applyFill="1" applyBorder="1" applyAlignment="1">
      <alignment horizontal="center" vertical="center" wrapText="1"/>
    </xf>
    <xf numFmtId="207" fontId="5" fillId="16" borderId="10" xfId="51" applyFont="1" applyFill="1" applyBorder="1" applyAlignment="1">
      <alignment horizontal="center" vertical="center" wrapText="1"/>
    </xf>
    <xf numFmtId="213" fontId="5" fillId="16" borderId="26" xfId="53" applyNumberFormat="1" applyFont="1" applyFill="1" applyBorder="1" applyAlignment="1">
      <alignment horizontal="center" vertical="center" wrapText="1"/>
    </xf>
    <xf numFmtId="0" fontId="66" fillId="0" borderId="0" xfId="61" applyFont="1">
      <alignment/>
      <protection/>
    </xf>
    <xf numFmtId="0" fontId="0" fillId="0" borderId="0" xfId="61">
      <alignment/>
      <protection/>
    </xf>
    <xf numFmtId="0" fontId="66" fillId="0" borderId="10" xfId="61" applyFont="1" applyBorder="1">
      <alignment/>
      <protection/>
    </xf>
    <xf numFmtId="213" fontId="66" fillId="0" borderId="10" xfId="54" applyNumberFormat="1" applyFont="1" applyBorder="1" applyAlignment="1">
      <alignment/>
    </xf>
    <xf numFmtId="213" fontId="66" fillId="0" borderId="10" xfId="54" applyNumberFormat="1" applyFont="1" applyBorder="1" applyAlignment="1">
      <alignment horizontal="center"/>
    </xf>
    <xf numFmtId="0" fontId="66" fillId="0" borderId="0" xfId="61" applyFont="1" applyBorder="1">
      <alignment/>
      <protection/>
    </xf>
    <xf numFmtId="168" fontId="66" fillId="0" borderId="0" xfId="61" applyNumberFormat="1" applyFont="1" applyBorder="1">
      <alignment/>
      <protection/>
    </xf>
    <xf numFmtId="206" fontId="66" fillId="0" borderId="0" xfId="58" applyFont="1" applyBorder="1" applyAlignment="1">
      <alignment/>
    </xf>
    <xf numFmtId="0" fontId="19" fillId="0" borderId="0" xfId="61" applyFont="1">
      <alignment/>
      <protection/>
    </xf>
    <xf numFmtId="213" fontId="20" fillId="0" borderId="0" xfId="61" applyNumberFormat="1" applyFont="1">
      <alignment/>
      <protection/>
    </xf>
    <xf numFmtId="230" fontId="66" fillId="0" borderId="10" xfId="59" applyNumberFormat="1" applyFont="1" applyBorder="1" applyAlignment="1">
      <alignment/>
    </xf>
    <xf numFmtId="0" fontId="20" fillId="0" borderId="11" xfId="61" applyFont="1" applyBorder="1" applyAlignment="1">
      <alignment horizontal="center"/>
      <protection/>
    </xf>
    <xf numFmtId="230" fontId="19" fillId="0" borderId="0" xfId="61" applyNumberFormat="1" applyFont="1">
      <alignment/>
      <protection/>
    </xf>
    <xf numFmtId="230" fontId="66" fillId="0" borderId="10" xfId="61" applyNumberFormat="1" applyFont="1" applyBorder="1">
      <alignment/>
      <protection/>
    </xf>
    <xf numFmtId="0" fontId="20" fillId="0" borderId="0" xfId="61" applyFont="1" applyAlignment="1">
      <alignment horizontal="center"/>
      <protection/>
    </xf>
    <xf numFmtId="230" fontId="0" fillId="0" borderId="0" xfId="61" applyNumberFormat="1">
      <alignment/>
      <protection/>
    </xf>
    <xf numFmtId="0" fontId="67" fillId="16" borderId="10" xfId="61" applyFont="1" applyFill="1" applyBorder="1" applyAlignment="1">
      <alignment horizontal="center" vertical="center" wrapText="1"/>
      <protection/>
    </xf>
    <xf numFmtId="0" fontId="67" fillId="16" borderId="10" xfId="61" applyFont="1" applyFill="1" applyBorder="1" applyAlignment="1">
      <alignment horizontal="center" vertical="center"/>
      <protection/>
    </xf>
    <xf numFmtId="0" fontId="20" fillId="16" borderId="10" xfId="61" applyFont="1" applyFill="1" applyBorder="1" applyAlignment="1">
      <alignment horizontal="center" vertical="center" wrapText="1"/>
      <protection/>
    </xf>
    <xf numFmtId="0" fontId="66" fillId="0" borderId="10" xfId="61" applyFont="1" applyBorder="1" applyAlignment="1">
      <alignment wrapText="1"/>
      <protection/>
    </xf>
    <xf numFmtId="0" fontId="0" fillId="0" borderId="0" xfId="61" applyFont="1">
      <alignment/>
      <protection/>
    </xf>
    <xf numFmtId="0" fontId="0" fillId="0" borderId="10" xfId="61" applyBorder="1" applyAlignment="1">
      <alignment horizontal="center"/>
      <protection/>
    </xf>
    <xf numFmtId="0" fontId="0" fillId="0" borderId="10" xfId="61" applyBorder="1">
      <alignment/>
      <protection/>
    </xf>
    <xf numFmtId="213" fontId="0" fillId="0" borderId="10" xfId="54" applyNumberFormat="1" applyFont="1" applyBorder="1" applyAlignment="1">
      <alignment/>
    </xf>
    <xf numFmtId="230" fontId="0" fillId="0" borderId="10" xfId="61" applyNumberFormat="1" applyBorder="1">
      <alignment/>
      <protection/>
    </xf>
    <xf numFmtId="211" fontId="0" fillId="0" borderId="10" xfId="54" applyNumberFormat="1" applyFont="1" applyFill="1" applyBorder="1" applyAlignment="1">
      <alignment/>
    </xf>
    <xf numFmtId="0" fontId="62" fillId="0" borderId="10" xfId="61" applyFont="1" applyFill="1" applyBorder="1" applyAlignment="1">
      <alignment horizontal="center"/>
      <protection/>
    </xf>
    <xf numFmtId="213" fontId="5" fillId="0" borderId="10" xfId="61" applyNumberFormat="1" applyFont="1" applyBorder="1">
      <alignment/>
      <protection/>
    </xf>
    <xf numFmtId="230" fontId="62" fillId="0" borderId="10" xfId="61" applyNumberFormat="1" applyFont="1" applyBorder="1">
      <alignment/>
      <protection/>
    </xf>
    <xf numFmtId="211" fontId="5" fillId="0" borderId="0" xfId="61" applyNumberFormat="1" applyFont="1">
      <alignment/>
      <protection/>
    </xf>
    <xf numFmtId="0" fontId="5" fillId="0" borderId="10" xfId="61" applyFont="1" applyFill="1" applyBorder="1" applyAlignment="1">
      <alignment wrapText="1"/>
      <protection/>
    </xf>
    <xf numFmtId="211" fontId="5" fillId="0" borderId="10" xfId="61" applyNumberFormat="1" applyFont="1" applyFill="1" applyBorder="1">
      <alignment/>
      <protection/>
    </xf>
    <xf numFmtId="0" fontId="5" fillId="0" borderId="0" xfId="61" applyFont="1" applyFill="1" applyBorder="1" applyAlignment="1">
      <alignment wrapText="1"/>
      <protection/>
    </xf>
    <xf numFmtId="0" fontId="5" fillId="0" borderId="0" xfId="61" applyFont="1">
      <alignment/>
      <protection/>
    </xf>
    <xf numFmtId="211" fontId="0" fillId="0" borderId="0" xfId="61" applyNumberFormat="1" applyFont="1">
      <alignment/>
      <protection/>
    </xf>
    <xf numFmtId="0" fontId="0" fillId="0" borderId="0" xfId="59" applyNumberFormat="1" applyFont="1" applyAlignment="1">
      <alignment/>
    </xf>
    <xf numFmtId="213" fontId="0" fillId="0" borderId="0" xfId="61" applyNumberFormat="1">
      <alignment/>
      <protection/>
    </xf>
    <xf numFmtId="0" fontId="5" fillId="16" borderId="10" xfId="61" applyFont="1" applyFill="1" applyBorder="1" applyAlignment="1">
      <alignment horizontal="center" wrapText="1"/>
      <protection/>
    </xf>
    <xf numFmtId="0" fontId="5" fillId="16" borderId="10" xfId="61" applyFont="1" applyFill="1" applyBorder="1" applyAlignment="1">
      <alignment horizontal="center"/>
      <protection/>
    </xf>
    <xf numFmtId="0" fontId="62" fillId="16" borderId="16" xfId="61" applyFont="1" applyFill="1" applyBorder="1" applyAlignment="1">
      <alignment horizontal="center"/>
      <protection/>
    </xf>
    <xf numFmtId="0" fontId="62" fillId="16" borderId="10" xfId="61" applyFont="1" applyFill="1" applyBorder="1" applyAlignment="1">
      <alignment horizontal="center"/>
      <protection/>
    </xf>
    <xf numFmtId="0" fontId="5" fillId="16" borderId="0" xfId="61" applyFont="1" applyFill="1" applyAlignment="1">
      <alignment horizontal="center"/>
      <protection/>
    </xf>
    <xf numFmtId="191" fontId="0" fillId="16" borderId="0" xfId="61" applyNumberFormat="1" applyFont="1" applyFill="1">
      <alignment/>
      <protection/>
    </xf>
    <xf numFmtId="211" fontId="5" fillId="16" borderId="0" xfId="61" applyNumberFormat="1" applyFont="1" applyFill="1">
      <alignment/>
      <protection/>
    </xf>
    <xf numFmtId="0" fontId="0" fillId="0" borderId="10" xfId="61" applyBorder="1" applyAlignment="1">
      <alignment wrapText="1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0" xfId="61" applyFont="1" applyFill="1">
      <alignment/>
      <protection/>
    </xf>
    <xf numFmtId="0" fontId="0" fillId="40" borderId="0" xfId="61" applyFont="1" applyFill="1">
      <alignment/>
      <protection/>
    </xf>
    <xf numFmtId="213" fontId="0" fillId="0" borderId="0" xfId="54" applyNumberFormat="1" applyFont="1" applyFill="1" applyAlignment="1">
      <alignment horizontal="right"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 applyAlignment="1">
      <alignment horizontal="center"/>
      <protection/>
    </xf>
    <xf numFmtId="0" fontId="0" fillId="0" borderId="0" xfId="61" applyFont="1" applyFill="1" applyAlignment="1">
      <alignment horizontal="center" vertical="center"/>
      <protection/>
    </xf>
    <xf numFmtId="213" fontId="0" fillId="0" borderId="10" xfId="54" applyNumberFormat="1" applyFont="1" applyFill="1" applyBorder="1" applyAlignment="1">
      <alignment vertical="center" wrapText="1"/>
    </xf>
    <xf numFmtId="0" fontId="0" fillId="0" borderId="10" xfId="61" applyFont="1" applyFill="1" applyBorder="1" applyAlignment="1">
      <alignment horizontal="center" vertical="center" wrapText="1"/>
      <protection/>
    </xf>
    <xf numFmtId="0" fontId="5" fillId="16" borderId="28" xfId="61" applyFont="1" applyFill="1" applyBorder="1" applyAlignment="1">
      <alignment horizontal="center" vertical="center" wrapText="1"/>
      <protection/>
    </xf>
    <xf numFmtId="0" fontId="5" fillId="16" borderId="29" xfId="61" applyFont="1" applyFill="1" applyBorder="1" applyAlignment="1">
      <alignment horizontal="center" vertical="center" wrapText="1"/>
      <protection/>
    </xf>
    <xf numFmtId="0" fontId="5" fillId="16" borderId="30" xfId="61" applyFont="1" applyFill="1" applyBorder="1" applyAlignment="1">
      <alignment horizontal="center" vertical="center" wrapText="1"/>
      <protection/>
    </xf>
    <xf numFmtId="213" fontId="5" fillId="16" borderId="30" xfId="54" applyNumberFormat="1" applyFont="1" applyFill="1" applyBorder="1" applyAlignment="1">
      <alignment horizontal="center" vertical="center" wrapText="1"/>
    </xf>
    <xf numFmtId="213" fontId="5" fillId="16" borderId="31" xfId="54" applyNumberFormat="1" applyFont="1" applyFill="1" applyBorder="1" applyAlignment="1">
      <alignment horizontal="center" wrapText="1"/>
    </xf>
    <xf numFmtId="213" fontId="0" fillId="0" borderId="26" xfId="54" applyNumberFormat="1" applyFont="1" applyFill="1" applyBorder="1" applyAlignment="1">
      <alignment horizontal="right" vertical="center" wrapText="1"/>
    </xf>
    <xf numFmtId="0" fontId="5" fillId="0" borderId="32" xfId="61" applyFont="1" applyFill="1" applyBorder="1" applyAlignment="1">
      <alignment horizontal="center" vertical="center" wrapText="1"/>
      <protection/>
    </xf>
    <xf numFmtId="213" fontId="5" fillId="0" borderId="33" xfId="54" applyNumberFormat="1" applyFont="1" applyFill="1" applyBorder="1" applyAlignment="1">
      <alignment horizontal="right" vertical="center" wrapText="1"/>
    </xf>
    <xf numFmtId="0" fontId="62" fillId="16" borderId="10" xfId="61" applyFont="1" applyFill="1" applyBorder="1" applyAlignment="1">
      <alignment horizontal="center" vertical="center"/>
      <protection/>
    </xf>
    <xf numFmtId="231" fontId="62" fillId="16" borderId="10" xfId="54" applyNumberFormat="1" applyFont="1" applyFill="1" applyBorder="1" applyAlignment="1">
      <alignment horizontal="center" vertical="center"/>
    </xf>
    <xf numFmtId="0" fontId="5" fillId="16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231" fontId="46" fillId="0" borderId="10" xfId="54" applyNumberFormat="1" applyFont="1" applyBorder="1" applyAlignment="1">
      <alignment horizontal="center" vertical="center"/>
    </xf>
    <xf numFmtId="231" fontId="0" fillId="0" borderId="10" xfId="61" applyNumberFormat="1" applyBorder="1" applyAlignment="1">
      <alignment vertical="center"/>
      <protection/>
    </xf>
    <xf numFmtId="0" fontId="0" fillId="0" borderId="10" xfId="61" applyFill="1" applyBorder="1" applyAlignment="1">
      <alignment horizontal="center" vertical="center"/>
      <protection/>
    </xf>
    <xf numFmtId="231" fontId="5" fillId="0" borderId="10" xfId="61" applyNumberFormat="1" applyFont="1" applyBorder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Alignment="1">
      <alignment horizontal="center"/>
      <protection/>
    </xf>
    <xf numFmtId="210" fontId="9" fillId="0" borderId="12" xfId="0" applyNumberFormat="1" applyFont="1" applyFill="1" applyBorder="1" applyAlignment="1" applyProtection="1">
      <alignment horizontal="center"/>
      <protection hidden="1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0" fontId="68" fillId="0" borderId="25" xfId="0" applyFont="1" applyBorder="1" applyAlignment="1">
      <alignment horizontal="center" vertical="center" wrapText="1"/>
    </xf>
    <xf numFmtId="213" fontId="0" fillId="0" borderId="10" xfId="54" applyNumberFormat="1" applyFont="1" applyFill="1" applyBorder="1" applyAlignment="1">
      <alignment horizontal="right" vertical="center" wrapText="1"/>
    </xf>
    <xf numFmtId="0" fontId="69" fillId="0" borderId="25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 indent="1"/>
    </xf>
    <xf numFmtId="0" fontId="15" fillId="16" borderId="25" xfId="0" applyFont="1" applyFill="1" applyBorder="1" applyAlignment="1" applyProtection="1">
      <alignment horizontal="center" vertical="center" wrapText="1"/>
      <protection hidden="1"/>
    </xf>
    <xf numFmtId="0" fontId="65" fillId="16" borderId="26" xfId="0" applyFont="1" applyFill="1" applyBorder="1" applyAlignment="1">
      <alignment horizontal="center" vertical="center"/>
    </xf>
    <xf numFmtId="175" fontId="9" fillId="0" borderId="25" xfId="55" applyNumberFormat="1" applyFont="1" applyBorder="1" applyAlignment="1" applyProtection="1">
      <alignment horizontal="left"/>
      <protection hidden="1"/>
    </xf>
    <xf numFmtId="213" fontId="0" fillId="0" borderId="26" xfId="53" applyNumberFormat="1" applyFont="1" applyBorder="1" applyAlignment="1">
      <alignment horizontal="center"/>
    </xf>
    <xf numFmtId="213" fontId="0" fillId="0" borderId="27" xfId="53" applyNumberFormat="1" applyFont="1" applyBorder="1" applyAlignment="1">
      <alignment horizontal="center"/>
    </xf>
    <xf numFmtId="43" fontId="0" fillId="0" borderId="0" xfId="61" applyNumberFormat="1" applyFont="1">
      <alignment/>
      <protection/>
    </xf>
    <xf numFmtId="211" fontId="0" fillId="16" borderId="0" xfId="61" applyNumberFormat="1" applyFont="1" applyFill="1">
      <alignment/>
      <protection/>
    </xf>
    <xf numFmtId="225" fontId="17" fillId="0" borderId="0" xfId="0" applyNumberFormat="1" applyFont="1" applyAlignment="1">
      <alignment/>
    </xf>
    <xf numFmtId="23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65" fillId="16" borderId="36" xfId="0" applyFont="1" applyFill="1" applyBorder="1" applyAlignment="1">
      <alignment horizontal="center"/>
    </xf>
    <xf numFmtId="0" fontId="65" fillId="16" borderId="37" xfId="0" applyFont="1" applyFill="1" applyBorder="1" applyAlignment="1">
      <alignment horizontal="center"/>
    </xf>
    <xf numFmtId="0" fontId="65" fillId="16" borderId="38" xfId="0" applyFont="1" applyFill="1" applyBorder="1" applyAlignment="1">
      <alignment horizontal="center"/>
    </xf>
    <xf numFmtId="0" fontId="5" fillId="16" borderId="36" xfId="0" applyFont="1" applyFill="1" applyBorder="1" applyAlignment="1">
      <alignment horizontal="center" vertical="center" wrapText="1"/>
    </xf>
    <xf numFmtId="0" fontId="5" fillId="16" borderId="37" xfId="0" applyFont="1" applyFill="1" applyBorder="1" applyAlignment="1">
      <alignment horizontal="center" vertical="center" wrapText="1"/>
    </xf>
    <xf numFmtId="0" fontId="5" fillId="16" borderId="38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0" fontId="19" fillId="0" borderId="39" xfId="61" applyFont="1" applyBorder="1" applyAlignment="1">
      <alignment horizontal="center" vertical="center"/>
      <protection/>
    </xf>
    <xf numFmtId="230" fontId="20" fillId="0" borderId="14" xfId="61" applyNumberFormat="1" applyFont="1" applyBorder="1" applyAlignment="1">
      <alignment horizontal="center" vertical="center"/>
      <protection/>
    </xf>
    <xf numFmtId="230" fontId="20" fillId="0" borderId="21" xfId="61" applyNumberFormat="1" applyFont="1" applyBorder="1" applyAlignment="1">
      <alignment horizontal="center" vertical="center"/>
      <protection/>
    </xf>
    <xf numFmtId="230" fontId="20" fillId="0" borderId="14" xfId="61" applyNumberFormat="1" applyFont="1" applyBorder="1" applyAlignment="1">
      <alignment horizontal="center" vertical="center" wrapText="1"/>
      <protection/>
    </xf>
    <xf numFmtId="230" fontId="20" fillId="0" borderId="21" xfId="61" applyNumberFormat="1" applyFont="1" applyBorder="1" applyAlignment="1">
      <alignment horizontal="center" vertical="center" wrapText="1"/>
      <protection/>
    </xf>
    <xf numFmtId="0" fontId="66" fillId="0" borderId="39" xfId="61" applyFont="1" applyBorder="1" applyAlignment="1">
      <alignment horizontal="center" vertical="center"/>
      <protection/>
    </xf>
    <xf numFmtId="0" fontId="67" fillId="16" borderId="10" xfId="61" applyFont="1" applyFill="1" applyBorder="1" applyAlignment="1">
      <alignment horizontal="center" vertical="center" wrapText="1"/>
      <protection/>
    </xf>
    <xf numFmtId="0" fontId="67" fillId="16" borderId="10" xfId="61" applyFont="1" applyFill="1" applyBorder="1" applyAlignment="1">
      <alignment horizontal="center" vertical="center"/>
      <protection/>
    </xf>
    <xf numFmtId="0" fontId="67" fillId="0" borderId="14" xfId="61" applyFont="1" applyBorder="1" applyAlignment="1">
      <alignment horizontal="center" vertical="center" wrapText="1"/>
      <protection/>
    </xf>
    <xf numFmtId="0" fontId="67" fillId="0" borderId="21" xfId="61" applyFont="1" applyBorder="1" applyAlignment="1">
      <alignment horizontal="center" vertical="center" wrapText="1"/>
      <protection/>
    </xf>
    <xf numFmtId="230" fontId="66" fillId="0" borderId="14" xfId="59" applyNumberFormat="1" applyFont="1" applyBorder="1" applyAlignment="1">
      <alignment horizontal="center" vertical="center"/>
    </xf>
    <xf numFmtId="230" fontId="66" fillId="0" borderId="21" xfId="59" applyNumberFormat="1" applyFont="1" applyBorder="1" applyAlignment="1">
      <alignment horizontal="center" vertical="center"/>
    </xf>
    <xf numFmtId="0" fontId="67" fillId="16" borderId="16" xfId="61" applyFont="1" applyFill="1" applyBorder="1" applyAlignment="1">
      <alignment horizontal="center" vertical="center" wrapText="1"/>
      <protection/>
    </xf>
    <xf numFmtId="0" fontId="67" fillId="16" borderId="40" xfId="61" applyFont="1" applyFill="1" applyBorder="1" applyAlignment="1">
      <alignment horizontal="center" vertical="center" wrapText="1"/>
      <protection/>
    </xf>
    <xf numFmtId="0" fontId="67" fillId="16" borderId="17" xfId="61" applyFont="1" applyFill="1" applyBorder="1" applyAlignment="1">
      <alignment horizontal="center" vertical="center" wrapText="1"/>
      <protection/>
    </xf>
    <xf numFmtId="0" fontId="67" fillId="0" borderId="11" xfId="61" applyFont="1" applyBorder="1" applyAlignment="1">
      <alignment horizontal="center" vertical="center" wrapText="1"/>
      <protection/>
    </xf>
    <xf numFmtId="230" fontId="66" fillId="0" borderId="11" xfId="59" applyNumberFormat="1" applyFont="1" applyBorder="1" applyAlignment="1">
      <alignment horizontal="center" vertical="center"/>
    </xf>
    <xf numFmtId="0" fontId="67" fillId="0" borderId="10" xfId="61" applyFont="1" applyBorder="1" applyAlignment="1">
      <alignment horizontal="center" vertical="center"/>
      <protection/>
    </xf>
    <xf numFmtId="230" fontId="66" fillId="0" borderId="16" xfId="61" applyNumberFormat="1" applyFont="1" applyBorder="1" applyAlignment="1">
      <alignment horizontal="center"/>
      <protection/>
    </xf>
    <xf numFmtId="230" fontId="66" fillId="0" borderId="40" xfId="61" applyNumberFormat="1" applyFont="1" applyBorder="1" applyAlignment="1">
      <alignment horizontal="center"/>
      <protection/>
    </xf>
    <xf numFmtId="230" fontId="66" fillId="0" borderId="17" xfId="61" applyNumberFormat="1" applyFont="1" applyBorder="1" applyAlignment="1">
      <alignment horizontal="center"/>
      <protection/>
    </xf>
    <xf numFmtId="0" fontId="5" fillId="0" borderId="41" xfId="61" applyFont="1" applyFill="1" applyBorder="1" applyAlignment="1">
      <alignment horizontal="center" vertical="center" wrapText="1"/>
      <protection/>
    </xf>
    <xf numFmtId="0" fontId="5" fillId="0" borderId="42" xfId="61" applyFont="1" applyFill="1" applyBorder="1" applyAlignment="1">
      <alignment horizontal="center" vertical="center" wrapText="1"/>
      <protection/>
    </xf>
    <xf numFmtId="0" fontId="5" fillId="0" borderId="43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_Modelo Financiero ACME Final" xfId="52"/>
    <cellStyle name="Millares 2" xfId="53"/>
    <cellStyle name="Millares 3" xfId="54"/>
    <cellStyle name="Millares_Modelo Financiero ACME Final" xfId="55"/>
    <cellStyle name="Currency" xfId="56"/>
    <cellStyle name="Currency [0]" xfId="57"/>
    <cellStyle name="Moneda [0] 2" xfId="58"/>
    <cellStyle name="Moneda 2" xfId="59"/>
    <cellStyle name="Neutral" xfId="60"/>
    <cellStyle name="Normal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2">
    <dxf>
      <font>
        <color indexed="9"/>
      </font>
      <fill>
        <patternFill>
          <bgColor indexed="51"/>
        </patternFill>
      </fill>
    </dxf>
    <dxf>
      <font>
        <color indexed="9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95275" cy="304800"/>
    <xdr:sp>
      <xdr:nvSpPr>
        <xdr:cNvPr id="1" name="AutoShape 123" descr="cÃ¡mara de video panasonic ag-ac90a avccam camcorder con zo"/>
        <xdr:cNvSpPr>
          <a:spLocks noChangeAspect="1"/>
        </xdr:cNvSpPr>
      </xdr:nvSpPr>
      <xdr:spPr>
        <a:xfrm>
          <a:off x="2514600" y="7715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304800"/>
    <xdr:sp>
      <xdr:nvSpPr>
        <xdr:cNvPr id="2" name="AutoShape 125" descr="https://http2.mlstatic.com/camara-de-video-panasonic-ag-ac90a-avccam-camcorder-con-zo-D_NQ_NP_910205-MCO26963693542_032018-F.webp"/>
        <xdr:cNvSpPr>
          <a:spLocks noChangeAspect="1"/>
        </xdr:cNvSpPr>
      </xdr:nvSpPr>
      <xdr:spPr>
        <a:xfrm>
          <a:off x="2514600" y="7715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400050</xdr:colOff>
      <xdr:row>4</xdr:row>
      <xdr:rowOff>76200</xdr:rowOff>
    </xdr:from>
    <xdr:to>
      <xdr:col>2</xdr:col>
      <xdr:colOff>1943100</xdr:colOff>
      <xdr:row>4</xdr:row>
      <xdr:rowOff>1638300</xdr:rowOff>
    </xdr:to>
    <xdr:pic>
      <xdr:nvPicPr>
        <xdr:cNvPr id="3" name="Imagen 4" descr="Resultado de imagen para Panasonic FULL HD AVCCAM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847725"/>
          <a:ext cx="1543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5</xdr:row>
      <xdr:rowOff>104775</xdr:rowOff>
    </xdr:from>
    <xdr:to>
      <xdr:col>2</xdr:col>
      <xdr:colOff>2133600</xdr:colOff>
      <xdr:row>5</xdr:row>
      <xdr:rowOff>2305050</xdr:rowOff>
    </xdr:to>
    <xdr:pic>
      <xdr:nvPicPr>
        <xdr:cNvPr id="4" name="Imagen 5" descr="Resultado de imagen para microfono solapa sennheis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724150"/>
          <a:ext cx="20288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6</xdr:row>
      <xdr:rowOff>123825</xdr:rowOff>
    </xdr:from>
    <xdr:to>
      <xdr:col>2</xdr:col>
      <xdr:colOff>2019300</xdr:colOff>
      <xdr:row>6</xdr:row>
      <xdr:rowOff>1790700</xdr:rowOff>
    </xdr:to>
    <xdr:pic>
      <xdr:nvPicPr>
        <xdr:cNvPr id="5" name="Imagen 6" descr="Resultado de imagen para TrÃ­pode Beston-717 Para CÃ¡maras Profesionales / Alt MÃ¡x 189cm - Neg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5286375"/>
          <a:ext cx="16383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7</xdr:row>
      <xdr:rowOff>104775</xdr:rowOff>
    </xdr:from>
    <xdr:to>
      <xdr:col>2</xdr:col>
      <xdr:colOff>2000250</xdr:colOff>
      <xdr:row>7</xdr:row>
      <xdr:rowOff>1762125</xdr:rowOff>
    </xdr:to>
    <xdr:pic>
      <xdr:nvPicPr>
        <xdr:cNvPr id="6" name="Imagen 7" descr="Resultado de imagen para Proam Usa Orion Dvc200 Dslr CÃ¡mara De Video J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7181850"/>
          <a:ext cx="16192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371475</xdr:rowOff>
    </xdr:from>
    <xdr:to>
      <xdr:col>2</xdr:col>
      <xdr:colOff>2219325</xdr:colOff>
      <xdr:row>8</xdr:row>
      <xdr:rowOff>1609725</xdr:rowOff>
    </xdr:to>
    <xdr:pic>
      <xdr:nvPicPr>
        <xdr:cNvPr id="7" name="Imagen 8" descr="Resultado de imagen para computador ediciÃ³n de vide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9229725"/>
          <a:ext cx="2171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9</xdr:row>
      <xdr:rowOff>95250</xdr:rowOff>
    </xdr:from>
    <xdr:to>
      <xdr:col>2</xdr:col>
      <xdr:colOff>1838325</xdr:colOff>
      <xdr:row>9</xdr:row>
      <xdr:rowOff>1676400</xdr:rowOff>
    </xdr:to>
    <xdr:pic>
      <xdr:nvPicPr>
        <xdr:cNvPr id="8" name="Imagen 9" descr="https://i.linio.com/p/ad62609afd6a7357c4cafcc2a35aa045-produc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10734675"/>
          <a:ext cx="15430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371475</xdr:rowOff>
    </xdr:from>
    <xdr:to>
      <xdr:col>2</xdr:col>
      <xdr:colOff>2238375</xdr:colOff>
      <xdr:row>10</xdr:row>
      <xdr:rowOff>1590675</xdr:rowOff>
    </xdr:to>
    <xdr:pic>
      <xdr:nvPicPr>
        <xdr:cNvPr id="9" name="Imagen 10" descr="https://images-na.ssl-images-amazon.com/images/I/31dfk9yvC6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12792075"/>
          <a:ext cx="2095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12</xdr:row>
      <xdr:rowOff>38100</xdr:rowOff>
    </xdr:from>
    <xdr:to>
      <xdr:col>2</xdr:col>
      <xdr:colOff>1990725</xdr:colOff>
      <xdr:row>12</xdr:row>
      <xdr:rowOff>1743075</xdr:rowOff>
    </xdr:to>
    <xdr:pic>
      <xdr:nvPicPr>
        <xdr:cNvPr id="10" name="Imagen 11" descr="https://i.linio.com/p/4e5eab3d61dd827504dd298b1bcd9418-produc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28925" y="16021050"/>
          <a:ext cx="16764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13</xdr:row>
      <xdr:rowOff>0</xdr:rowOff>
    </xdr:from>
    <xdr:ext cx="295275" cy="304800"/>
    <xdr:sp>
      <xdr:nvSpPr>
        <xdr:cNvPr id="11" name="AutoShape 149" descr="https://http2.mlstatic.com/limostudio-fotografia-estudio-video-foto-chromakey-pantalla-D_NQ_NP_768854-MCO27725054890_072018-F.webp"/>
        <xdr:cNvSpPr>
          <a:spLocks noChangeAspect="1"/>
        </xdr:cNvSpPr>
      </xdr:nvSpPr>
      <xdr:spPr>
        <a:xfrm>
          <a:off x="2514600" y="177641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295275" cy="304800"/>
    <xdr:sp>
      <xdr:nvSpPr>
        <xdr:cNvPr id="12" name="AutoShape 150" descr="https://http2.mlstatic.com/limostudio-fotografia-estudio-video-foto-chromakey-pantalla-D_NQ_NP_768854-MCO27725054890_072018-F.webp"/>
        <xdr:cNvSpPr>
          <a:spLocks noChangeAspect="1"/>
        </xdr:cNvSpPr>
      </xdr:nvSpPr>
      <xdr:spPr>
        <a:xfrm>
          <a:off x="2514600" y="177641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342900</xdr:colOff>
      <xdr:row>13</xdr:row>
      <xdr:rowOff>38100</xdr:rowOff>
    </xdr:from>
    <xdr:to>
      <xdr:col>2</xdr:col>
      <xdr:colOff>2019300</xdr:colOff>
      <xdr:row>13</xdr:row>
      <xdr:rowOff>1743075</xdr:rowOff>
    </xdr:to>
    <xdr:pic>
      <xdr:nvPicPr>
        <xdr:cNvPr id="13" name="Imagen 14" descr="Resultado de imagen para chromakey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0" y="17802225"/>
          <a:ext cx="16764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14</xdr:row>
      <xdr:rowOff>47625</xdr:rowOff>
    </xdr:from>
    <xdr:to>
      <xdr:col>2</xdr:col>
      <xdr:colOff>2019300</xdr:colOff>
      <xdr:row>14</xdr:row>
      <xdr:rowOff>1828800</xdr:rowOff>
    </xdr:to>
    <xdr:pic>
      <xdr:nvPicPr>
        <xdr:cNvPr id="14" name="Imagen 15" descr="https://www.amoblando.co/uploads/amoblando/product_images/44/full/sala-modular-sammy-cuero-sintetico_p9R0C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19592925"/>
          <a:ext cx="17430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15</xdr:row>
      <xdr:rowOff>57150</xdr:rowOff>
    </xdr:from>
    <xdr:to>
      <xdr:col>2</xdr:col>
      <xdr:colOff>2000250</xdr:colOff>
      <xdr:row>15</xdr:row>
      <xdr:rowOff>1828800</xdr:rowOff>
    </xdr:to>
    <xdr:pic>
      <xdr:nvPicPr>
        <xdr:cNvPr id="15" name="Imagen 16" descr="Resultado de imagen para mesa de centr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90825" y="21488400"/>
          <a:ext cx="17240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11</xdr:row>
      <xdr:rowOff>0</xdr:rowOff>
    </xdr:from>
    <xdr:ext cx="295275" cy="304800"/>
    <xdr:sp>
      <xdr:nvSpPr>
        <xdr:cNvPr id="16" name="AutoShape 208" descr="https://http2.mlstatic.com/cable-rca-2x1-18mt-D_NQ_NP_675488-MCO27717684821_072018-F.webp"/>
        <xdr:cNvSpPr>
          <a:spLocks noChangeAspect="1"/>
        </xdr:cNvSpPr>
      </xdr:nvSpPr>
      <xdr:spPr>
        <a:xfrm>
          <a:off x="2514600" y="142017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419100</xdr:colOff>
      <xdr:row>11</xdr:row>
      <xdr:rowOff>76200</xdr:rowOff>
    </xdr:from>
    <xdr:to>
      <xdr:col>2</xdr:col>
      <xdr:colOff>2066925</xdr:colOff>
      <xdr:row>11</xdr:row>
      <xdr:rowOff>1781175</xdr:rowOff>
    </xdr:to>
    <xdr:pic>
      <xdr:nvPicPr>
        <xdr:cNvPr id="17" name="Imagen 19" descr="Resultado de imagen para cable rc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33700" y="14277975"/>
          <a:ext cx="16478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6"/>
    <pageSetUpPr fitToPage="1"/>
  </sheetPr>
  <dimension ref="A1:L337"/>
  <sheetViews>
    <sheetView tabSelected="1" showOutlineSymbols="0" zoomScalePageLayoutView="0" workbookViewId="0" topLeftCell="A1">
      <selection activeCell="D4" sqref="D4"/>
    </sheetView>
  </sheetViews>
  <sheetFormatPr defaultColWidth="11.421875" defaultRowHeight="12.75" outlineLevelRow="1"/>
  <cols>
    <col min="1" max="1" width="40.421875" style="59" bestFit="1" customWidth="1"/>
    <col min="2" max="2" width="13.57421875" style="64" bestFit="1" customWidth="1"/>
    <col min="3" max="3" width="12.7109375" style="32" bestFit="1" customWidth="1"/>
    <col min="4" max="4" width="15.00390625" style="32" customWidth="1"/>
    <col min="5" max="5" width="16.00390625" style="32" customWidth="1"/>
    <col min="6" max="6" width="16.140625" style="32" customWidth="1"/>
    <col min="7" max="7" width="16.28125" style="32" customWidth="1"/>
    <col min="8" max="8" width="16.421875" style="32" customWidth="1"/>
    <col min="9" max="9" width="11.421875" style="28" customWidth="1"/>
    <col min="10" max="10" width="17.421875" style="28" bestFit="1" customWidth="1"/>
    <col min="11" max="11" width="13.7109375" style="28" bestFit="1" customWidth="1"/>
    <col min="12" max="16384" width="11.421875" style="28" customWidth="1"/>
  </cols>
  <sheetData>
    <row r="1" spans="1:8" ht="15" customHeight="1" outlineLevel="1" thickBot="1">
      <c r="A1" s="179"/>
      <c r="B1" s="180"/>
      <c r="C1" s="182">
        <v>0</v>
      </c>
      <c r="D1" s="183">
        <v>1</v>
      </c>
      <c r="E1" s="183">
        <v>2</v>
      </c>
      <c r="F1" s="183">
        <v>3</v>
      </c>
      <c r="G1" s="183">
        <v>4</v>
      </c>
      <c r="H1" s="184">
        <v>5</v>
      </c>
    </row>
    <row r="2" spans="1:8" ht="15" customHeight="1" collapsed="1" thickBot="1">
      <c r="A2" s="38"/>
      <c r="B2" s="155" t="s">
        <v>0</v>
      </c>
      <c r="C2" s="29"/>
      <c r="D2" s="181">
        <v>2019</v>
      </c>
      <c r="E2" s="181">
        <v>2020</v>
      </c>
      <c r="F2" s="181">
        <f>E2+1</f>
        <v>2021</v>
      </c>
      <c r="G2" s="181">
        <f>F2+1</f>
        <v>2022</v>
      </c>
      <c r="H2" s="181">
        <f>G2+1</f>
        <v>2023</v>
      </c>
    </row>
    <row r="3" spans="1:8" ht="14.25" thickBot="1" thickTop="1">
      <c r="A3" s="154" t="s">
        <v>163</v>
      </c>
      <c r="B3" s="31"/>
      <c r="D3" s="33"/>
      <c r="E3" s="33"/>
      <c r="F3" s="33"/>
      <c r="G3" s="33"/>
      <c r="H3" s="34"/>
    </row>
    <row r="4" spans="1:8" s="38" customFormat="1" ht="13.5" thickTop="1">
      <c r="A4" s="35" t="s">
        <v>294</v>
      </c>
      <c r="B4" s="36" t="s">
        <v>1</v>
      </c>
      <c r="C4" s="32"/>
      <c r="D4" s="37">
        <v>0.045</v>
      </c>
      <c r="E4" s="37">
        <v>0.04</v>
      </c>
      <c r="F4" s="37">
        <v>0.04</v>
      </c>
      <c r="G4" s="37">
        <v>0.04</v>
      </c>
      <c r="H4" s="37">
        <v>0.04</v>
      </c>
    </row>
    <row r="5" spans="1:8" s="38" customFormat="1" ht="12.75">
      <c r="A5" s="35" t="s">
        <v>282</v>
      </c>
      <c r="B5" s="36" t="s">
        <v>1</v>
      </c>
      <c r="C5" s="32"/>
      <c r="D5" s="39">
        <v>0.1226</v>
      </c>
      <c r="E5" s="39">
        <v>0.131</v>
      </c>
      <c r="F5" s="39">
        <v>0.1393</v>
      </c>
      <c r="G5" s="39">
        <v>0.1476</v>
      </c>
      <c r="H5" s="39">
        <v>0.1564</v>
      </c>
    </row>
    <row r="6" spans="1:8" s="38" customFormat="1" ht="12.75" outlineLevel="1">
      <c r="A6" s="40" t="s">
        <v>135</v>
      </c>
      <c r="B6" s="41" t="s">
        <v>1</v>
      </c>
      <c r="C6" s="32"/>
      <c r="D6" s="42">
        <f>D4</f>
        <v>0.045</v>
      </c>
      <c r="E6" s="42">
        <f>E4</f>
        <v>0.04</v>
      </c>
      <c r="F6" s="42">
        <f>F4</f>
        <v>0.04</v>
      </c>
      <c r="G6" s="42">
        <f>G4</f>
        <v>0.04</v>
      </c>
      <c r="H6" s="42">
        <f>H4</f>
        <v>0.04</v>
      </c>
    </row>
    <row r="7" spans="1:8" s="38" customFormat="1" ht="12.75" collapsed="1">
      <c r="A7" s="40" t="s">
        <v>2</v>
      </c>
      <c r="B7" s="41" t="s">
        <v>1</v>
      </c>
      <c r="C7" s="32"/>
      <c r="D7" s="37">
        <v>1.3707</v>
      </c>
      <c r="E7" s="37">
        <v>1.3607</v>
      </c>
      <c r="F7" s="37">
        <v>1.3607</v>
      </c>
      <c r="G7" s="37">
        <v>1.3607</v>
      </c>
      <c r="H7" s="37">
        <v>1.3607</v>
      </c>
    </row>
    <row r="8" spans="1:8" s="43" customFormat="1" ht="12.75">
      <c r="A8" s="40" t="s">
        <v>3</v>
      </c>
      <c r="B8" s="41" t="s">
        <v>1</v>
      </c>
      <c r="C8" s="32"/>
      <c r="D8" s="37">
        <v>0.05</v>
      </c>
      <c r="E8" s="37">
        <v>0.05</v>
      </c>
      <c r="F8" s="37">
        <v>0.05</v>
      </c>
      <c r="G8" s="37">
        <v>0.05</v>
      </c>
      <c r="H8" s="37">
        <v>0.05</v>
      </c>
    </row>
    <row r="9" spans="1:8" s="45" customFormat="1" ht="13.5" thickBot="1">
      <c r="A9" s="40" t="s">
        <v>5</v>
      </c>
      <c r="B9" s="36" t="s">
        <v>1</v>
      </c>
      <c r="C9" s="32"/>
      <c r="D9" s="44">
        <v>0.0961</v>
      </c>
      <c r="E9" s="44">
        <v>0.0794</v>
      </c>
      <c r="F9" s="44">
        <v>0.0708</v>
      </c>
      <c r="G9" s="44">
        <v>0.0633</v>
      </c>
      <c r="H9" s="44">
        <v>0.0559</v>
      </c>
    </row>
    <row r="10" spans="1:8" ht="14.25" thickBot="1" thickTop="1">
      <c r="A10" s="154" t="s">
        <v>168</v>
      </c>
      <c r="B10" s="31"/>
      <c r="D10" s="46"/>
      <c r="E10" s="46"/>
      <c r="F10" s="46"/>
      <c r="G10" s="46"/>
      <c r="H10" s="46"/>
    </row>
    <row r="11" spans="1:8" ht="13.5" thickTop="1">
      <c r="A11" s="156" t="s">
        <v>397</v>
      </c>
      <c r="B11" s="28"/>
      <c r="D11" s="47"/>
      <c r="E11" s="47"/>
      <c r="F11" s="47"/>
      <c r="G11" s="47"/>
      <c r="H11" s="47"/>
    </row>
    <row r="12" spans="1:9" s="49" customFormat="1" ht="12.75">
      <c r="A12" s="48" t="s">
        <v>389</v>
      </c>
      <c r="B12" s="36" t="s">
        <v>288</v>
      </c>
      <c r="C12" s="32"/>
      <c r="D12" s="27">
        <v>50000</v>
      </c>
      <c r="E12" s="27">
        <f>+D12*(1+E4)</f>
        <v>52000</v>
      </c>
      <c r="F12" s="27">
        <f>+E12*(1+F4)</f>
        <v>54080</v>
      </c>
      <c r="G12" s="27">
        <f>+F12*(1+G4)</f>
        <v>56243.200000000004</v>
      </c>
      <c r="H12" s="27">
        <f>+G12*(1+H4)</f>
        <v>58492.92800000001</v>
      </c>
      <c r="I12" s="28"/>
    </row>
    <row r="13" spans="1:9" s="49" customFormat="1" ht="12.75">
      <c r="A13" s="48" t="s">
        <v>390</v>
      </c>
      <c r="B13" s="36" t="s">
        <v>288</v>
      </c>
      <c r="C13" s="32"/>
      <c r="D13" s="27">
        <v>500000</v>
      </c>
      <c r="E13" s="27">
        <f>+D13*(1+E4)</f>
        <v>520000</v>
      </c>
      <c r="F13" s="27">
        <f>+E13*(1+F4)</f>
        <v>540800</v>
      </c>
      <c r="G13" s="27">
        <f>F13*(1+G4)</f>
        <v>562432</v>
      </c>
      <c r="H13" s="27">
        <f>+G13*(1+H4)</f>
        <v>584929.28</v>
      </c>
      <c r="I13" s="28"/>
    </row>
    <row r="14" spans="1:9" s="49" customFormat="1" ht="12.75">
      <c r="A14" s="48" t="s">
        <v>391</v>
      </c>
      <c r="B14" s="36" t="s">
        <v>288</v>
      </c>
      <c r="C14" s="32"/>
      <c r="D14" s="27">
        <v>900000</v>
      </c>
      <c r="E14" s="27">
        <f>+D14*(1+E4)</f>
        <v>936000</v>
      </c>
      <c r="F14" s="27">
        <f>+E14*(1+F4)</f>
        <v>973440</v>
      </c>
      <c r="G14" s="27">
        <f>F14*(1+G4)</f>
        <v>1012377.6</v>
      </c>
      <c r="H14" s="27">
        <f>+G14*(1+H4)</f>
        <v>1052872.704</v>
      </c>
      <c r="I14" s="28"/>
    </row>
    <row r="15" spans="1:9" s="49" customFormat="1" ht="12.75">
      <c r="A15" s="48" t="s">
        <v>392</v>
      </c>
      <c r="B15" s="36" t="s">
        <v>288</v>
      </c>
      <c r="C15" s="32"/>
      <c r="D15" s="27">
        <v>600000</v>
      </c>
      <c r="E15" s="27">
        <f>+D15*(1+E4)</f>
        <v>624000</v>
      </c>
      <c r="F15" s="27">
        <f>+E15*(1+F4)</f>
        <v>648960</v>
      </c>
      <c r="G15" s="27">
        <f>F15*(1+G4)</f>
        <v>674918.4</v>
      </c>
      <c r="H15" s="27">
        <f>+G15*(1+H4)</f>
        <v>701915.136</v>
      </c>
      <c r="I15" s="28"/>
    </row>
    <row r="16" spans="1:10" s="49" customFormat="1" ht="12.75">
      <c r="A16" s="48" t="s">
        <v>393</v>
      </c>
      <c r="B16" s="36" t="s">
        <v>288</v>
      </c>
      <c r="C16" s="32"/>
      <c r="D16" s="27">
        <v>250000</v>
      </c>
      <c r="E16" s="27">
        <f>+D16*(1+E4)</f>
        <v>260000</v>
      </c>
      <c r="F16" s="27">
        <f>+E16*(1+F4)</f>
        <v>270400</v>
      </c>
      <c r="G16" s="27">
        <f>F16*(1+G4)</f>
        <v>281216</v>
      </c>
      <c r="H16" s="27">
        <f>+G16*(1+H4)</f>
        <v>292464.64</v>
      </c>
      <c r="I16" s="28"/>
      <c r="J16" s="160"/>
    </row>
    <row r="17" spans="1:10" s="49" customFormat="1" ht="12.75">
      <c r="A17" s="48" t="s">
        <v>394</v>
      </c>
      <c r="B17" s="36" t="s">
        <v>288</v>
      </c>
      <c r="C17" s="32"/>
      <c r="D17" s="27">
        <v>500000</v>
      </c>
      <c r="E17" s="27">
        <f>+D17*(1+E4)</f>
        <v>520000</v>
      </c>
      <c r="F17" s="27">
        <f>+E17*(1+F4)</f>
        <v>540800</v>
      </c>
      <c r="G17" s="27">
        <f>+F17*(1+G4)</f>
        <v>562432</v>
      </c>
      <c r="H17" s="27">
        <f>+G17*(1+H4)</f>
        <v>584929.28</v>
      </c>
      <c r="I17" s="28"/>
      <c r="J17" s="160"/>
    </row>
    <row r="18" spans="1:10" s="49" customFormat="1" ht="12.75">
      <c r="A18" s="48" t="s">
        <v>395</v>
      </c>
      <c r="B18" s="36" t="s">
        <v>288</v>
      </c>
      <c r="C18" s="32"/>
      <c r="D18" s="27">
        <v>70000</v>
      </c>
      <c r="E18" s="27">
        <f>+D18*(1+E4)</f>
        <v>72800</v>
      </c>
      <c r="F18" s="27">
        <f>+E18*(1+F4)</f>
        <v>75712</v>
      </c>
      <c r="G18" s="27">
        <f>+F18*(1+G4)</f>
        <v>78740.48</v>
      </c>
      <c r="H18" s="27">
        <f>+G18*(1+H4)</f>
        <v>81890.0992</v>
      </c>
      <c r="I18" s="28"/>
      <c r="J18" s="160"/>
    </row>
    <row r="19" spans="1:10" s="49" customFormat="1" ht="12.75">
      <c r="A19" s="48" t="s">
        <v>396</v>
      </c>
      <c r="B19" s="36" t="s">
        <v>288</v>
      </c>
      <c r="C19" s="32"/>
      <c r="D19" s="27">
        <v>150000</v>
      </c>
      <c r="E19" s="27">
        <f>+D19*(1+E4)</f>
        <v>156000</v>
      </c>
      <c r="F19" s="27">
        <f>+E19*(1+F4)</f>
        <v>162240</v>
      </c>
      <c r="G19" s="27">
        <f>+F19*(1+G4)</f>
        <v>168729.6</v>
      </c>
      <c r="H19" s="27">
        <f>+G19*(1+H4)</f>
        <v>175478.784</v>
      </c>
      <c r="I19" s="28"/>
      <c r="J19" s="160"/>
    </row>
    <row r="20" spans="1:10" s="49" customFormat="1" ht="12.75">
      <c r="A20" s="48"/>
      <c r="B20" s="36"/>
      <c r="C20" s="32"/>
      <c r="D20" s="27">
        <f>'Costos directos e indirectos'!C13</f>
        <v>0</v>
      </c>
      <c r="E20" s="27">
        <f>+D20*(1+E4)</f>
        <v>0</v>
      </c>
      <c r="F20" s="27">
        <f>+E20*(1+F4)</f>
        <v>0</v>
      </c>
      <c r="G20" s="27">
        <f>+F20*(1+G4)</f>
        <v>0</v>
      </c>
      <c r="H20" s="27">
        <f>+G20*(1+H4)</f>
        <v>0</v>
      </c>
      <c r="I20" s="28"/>
      <c r="J20" s="160"/>
    </row>
    <row r="21" spans="1:2" ht="12.75">
      <c r="A21" s="185" t="s">
        <v>398</v>
      </c>
      <c r="B21" s="28"/>
    </row>
    <row r="22" spans="1:8" s="45" customFormat="1" ht="12.75">
      <c r="A22" s="48" t="s">
        <v>389</v>
      </c>
      <c r="B22" s="36" t="s">
        <v>6</v>
      </c>
      <c r="C22" s="32"/>
      <c r="D22" s="27">
        <v>110</v>
      </c>
      <c r="E22" s="27">
        <v>120</v>
      </c>
      <c r="F22" s="27">
        <v>140</v>
      </c>
      <c r="G22" s="27">
        <v>160</v>
      </c>
      <c r="H22" s="27">
        <v>190</v>
      </c>
    </row>
    <row r="23" spans="1:10" s="45" customFormat="1" ht="12.75">
      <c r="A23" s="48" t="s">
        <v>390</v>
      </c>
      <c r="B23" s="36" t="s">
        <v>6</v>
      </c>
      <c r="C23" s="32"/>
      <c r="D23" s="27">
        <v>60</v>
      </c>
      <c r="E23" s="27">
        <v>48</v>
      </c>
      <c r="F23" s="27">
        <v>58</v>
      </c>
      <c r="G23" s="27">
        <v>60</v>
      </c>
      <c r="H23" s="27">
        <v>90</v>
      </c>
      <c r="J23" s="161"/>
    </row>
    <row r="24" spans="1:8" s="45" customFormat="1" ht="12.75">
      <c r="A24" s="48" t="s">
        <v>399</v>
      </c>
      <c r="B24" s="36" t="s">
        <v>6</v>
      </c>
      <c r="C24" s="32"/>
      <c r="D24" s="27">
        <v>35</v>
      </c>
      <c r="E24" s="27">
        <v>25</v>
      </c>
      <c r="F24" s="27">
        <v>40</v>
      </c>
      <c r="G24" s="27">
        <v>60</v>
      </c>
      <c r="H24" s="27">
        <v>75</v>
      </c>
    </row>
    <row r="25" spans="1:8" s="45" customFormat="1" ht="12.75">
      <c r="A25" s="48" t="s">
        <v>392</v>
      </c>
      <c r="B25" s="36" t="s">
        <v>6</v>
      </c>
      <c r="C25" s="32"/>
      <c r="D25" s="27">
        <v>60</v>
      </c>
      <c r="E25" s="27">
        <v>50</v>
      </c>
      <c r="F25" s="27">
        <v>75</v>
      </c>
      <c r="G25" s="27">
        <v>90</v>
      </c>
      <c r="H25" s="27">
        <v>110</v>
      </c>
    </row>
    <row r="26" spans="1:8" s="45" customFormat="1" ht="12.75">
      <c r="A26" s="48" t="s">
        <v>393</v>
      </c>
      <c r="B26" s="36" t="s">
        <v>6</v>
      </c>
      <c r="C26" s="32"/>
      <c r="D26" s="27">
        <v>45</v>
      </c>
      <c r="E26" s="27">
        <f>D26*1.35</f>
        <v>60.75000000000001</v>
      </c>
      <c r="F26" s="27">
        <f aca="true" t="shared" si="0" ref="F26:H29">E26*1.35</f>
        <v>82.01250000000002</v>
      </c>
      <c r="G26" s="27">
        <f t="shared" si="0"/>
        <v>110.71687500000003</v>
      </c>
      <c r="H26" s="27">
        <f t="shared" si="0"/>
        <v>149.46778125000006</v>
      </c>
    </row>
    <row r="27" spans="1:8" s="45" customFormat="1" ht="12.75">
      <c r="A27" s="48" t="s">
        <v>394</v>
      </c>
      <c r="B27" s="36" t="s">
        <v>6</v>
      </c>
      <c r="C27" s="32"/>
      <c r="D27" s="27">
        <v>45</v>
      </c>
      <c r="E27" s="27">
        <v>32</v>
      </c>
      <c r="F27" s="27">
        <v>40</v>
      </c>
      <c r="G27" s="27">
        <v>54</v>
      </c>
      <c r="H27" s="27">
        <v>60</v>
      </c>
    </row>
    <row r="28" spans="1:8" s="45" customFormat="1" ht="12.75">
      <c r="A28" s="48" t="s">
        <v>395</v>
      </c>
      <c r="B28" s="36" t="s">
        <v>6</v>
      </c>
      <c r="C28" s="32"/>
      <c r="D28" s="27">
        <v>60</v>
      </c>
      <c r="E28" s="27">
        <v>60</v>
      </c>
      <c r="F28" s="27">
        <v>80</v>
      </c>
      <c r="G28" s="27">
        <v>100</v>
      </c>
      <c r="H28" s="27">
        <v>130</v>
      </c>
    </row>
    <row r="29" spans="1:8" s="45" customFormat="1" ht="12.75">
      <c r="A29" s="48" t="s">
        <v>396</v>
      </c>
      <c r="B29" s="36" t="s">
        <v>6</v>
      </c>
      <c r="C29" s="32"/>
      <c r="D29" s="27">
        <v>40</v>
      </c>
      <c r="E29" s="27">
        <f>D29*1.35</f>
        <v>54</v>
      </c>
      <c r="F29" s="27">
        <f t="shared" si="0"/>
        <v>72.9</v>
      </c>
      <c r="G29" s="27">
        <f t="shared" si="0"/>
        <v>98.41500000000002</v>
      </c>
      <c r="H29" s="27">
        <f t="shared" si="0"/>
        <v>132.86025000000004</v>
      </c>
    </row>
    <row r="30" spans="1:8" s="45" customFormat="1" ht="12.75">
      <c r="A30" s="48"/>
      <c r="B30" s="36"/>
      <c r="C30" s="32"/>
      <c r="D30" s="27">
        <v>0</v>
      </c>
      <c r="E30" s="27">
        <f>D30*1.35</f>
        <v>0</v>
      </c>
      <c r="F30" s="27">
        <f>E30*1.35</f>
        <v>0</v>
      </c>
      <c r="G30" s="27">
        <f>F30*1.35</f>
        <v>0</v>
      </c>
      <c r="H30" s="27">
        <f>G30*1.35</f>
        <v>0</v>
      </c>
    </row>
    <row r="31" spans="1:2" ht="12" customHeight="1">
      <c r="A31" s="185" t="s">
        <v>295</v>
      </c>
      <c r="B31" s="28"/>
    </row>
    <row r="32" spans="1:9" s="49" customFormat="1" ht="12.75">
      <c r="A32" s="48" t="s">
        <v>162</v>
      </c>
      <c r="B32" s="36" t="s">
        <v>4</v>
      </c>
      <c r="C32" s="32"/>
      <c r="D32" s="50">
        <f>IF(SUM(D22:D30)=0,0,SUMPRODUCT(D12:D20,D22:D30)/SUM(D22:D30))</f>
        <v>322967.032967033</v>
      </c>
      <c r="E32" s="50">
        <f>IF(SUM(E22:E30)=0,0,SUMPRODUCT(E12:E20,E22:E30)/SUM(E22:E30))</f>
        <v>291332.96275708725</v>
      </c>
      <c r="F32" s="50">
        <f>IF(SUM(F22:F30)=0,0,SUMPRODUCT(F12:F20,F22:F30)/SUM(F22:F30))</f>
        <v>320183.0816660642</v>
      </c>
      <c r="G32" s="50">
        <f>IF(SUM(G22:G30)=0,0,SUMPRODUCT(G12:G20,G22:G30)/SUM(G22:G30))</f>
        <v>341297.94220719155</v>
      </c>
      <c r="H32" s="50">
        <f>IF(SUM(H22:H30)=0,0,SUMPRODUCT(H12:H20,H22:H30)/SUM(H22:H30))</f>
        <v>354948.3892838781</v>
      </c>
      <c r="I32" s="28"/>
    </row>
    <row r="33" spans="1:8" s="45" customFormat="1" ht="12.75">
      <c r="A33" s="40" t="s">
        <v>311</v>
      </c>
      <c r="B33" s="36" t="s">
        <v>6</v>
      </c>
      <c r="C33" s="32"/>
      <c r="D33" s="51">
        <f>SUM(D22:D30)</f>
        <v>455</v>
      </c>
      <c r="E33" s="51">
        <f>SUM(E22:E30)</f>
        <v>449.75</v>
      </c>
      <c r="F33" s="51">
        <f>SUM(F22:F30)</f>
        <v>587.9125</v>
      </c>
      <c r="G33" s="51">
        <f>SUM(G22:G30)</f>
        <v>733.131875</v>
      </c>
      <c r="H33" s="51">
        <f>SUM(H22:H30)</f>
        <v>937.3280312500001</v>
      </c>
    </row>
    <row r="34" spans="1:8" ht="13.5" customHeight="1">
      <c r="A34" s="40" t="s">
        <v>64</v>
      </c>
      <c r="B34" s="36" t="s">
        <v>4</v>
      </c>
      <c r="D34" s="54">
        <f>D33*D32</f>
        <v>146950000</v>
      </c>
      <c r="E34" s="54">
        <f>E33*E32</f>
        <v>131027000</v>
      </c>
      <c r="F34" s="54">
        <f>F33*F32</f>
        <v>188239636</v>
      </c>
      <c r="G34" s="54">
        <f>G33*G32</f>
        <v>250216400.304</v>
      </c>
      <c r="H34" s="54">
        <f>H33*H32</f>
        <v>332703074.9228161</v>
      </c>
    </row>
    <row r="35" spans="1:8" ht="12.75">
      <c r="A35" s="156" t="s">
        <v>164</v>
      </c>
      <c r="B35" s="31"/>
      <c r="D35" s="33"/>
      <c r="E35" s="33"/>
      <c r="F35" s="33"/>
      <c r="G35" s="33"/>
      <c r="H35" s="33"/>
    </row>
    <row r="36" spans="1:8" ht="12.75">
      <c r="A36" s="40" t="s">
        <v>9</v>
      </c>
      <c r="B36" s="36" t="s">
        <v>10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</row>
    <row r="37" spans="1:9" s="45" customFormat="1" ht="12.75">
      <c r="A37" s="40" t="s">
        <v>11</v>
      </c>
      <c r="B37" s="36" t="s">
        <v>4</v>
      </c>
      <c r="C37" s="32"/>
      <c r="D37" s="54">
        <f>D34*D36</f>
        <v>0</v>
      </c>
      <c r="E37" s="54">
        <f>E34*E36</f>
        <v>0</v>
      </c>
      <c r="F37" s="54">
        <f>F34*F36</f>
        <v>0</v>
      </c>
      <c r="G37" s="54">
        <f>G34*G36</f>
        <v>0</v>
      </c>
      <c r="H37" s="54">
        <f>H34*H36</f>
        <v>0</v>
      </c>
      <c r="I37" s="28"/>
    </row>
    <row r="38" spans="1:8" ht="12.75">
      <c r="A38" s="156" t="s">
        <v>296</v>
      </c>
      <c r="B38" s="31"/>
      <c r="D38" s="33"/>
      <c r="E38" s="33"/>
      <c r="F38" s="33"/>
      <c r="G38" s="33"/>
      <c r="H38" s="33"/>
    </row>
    <row r="39" spans="1:9" s="49" customFormat="1" ht="12.75">
      <c r="A39" s="48" t="s">
        <v>389</v>
      </c>
      <c r="B39" s="36" t="s">
        <v>288</v>
      </c>
      <c r="C39" s="32"/>
      <c r="D39" s="27">
        <f>+D12*0.3</f>
        <v>15000</v>
      </c>
      <c r="E39" s="27">
        <f>D39*(1+E4)</f>
        <v>15600</v>
      </c>
      <c r="F39" s="27">
        <f>E39*(1+F4)</f>
        <v>16224</v>
      </c>
      <c r="G39" s="27">
        <f>F39*(1+G4)</f>
        <v>16872.96</v>
      </c>
      <c r="H39" s="27">
        <f>G39*(1+H4)</f>
        <v>17547.8784</v>
      </c>
      <c r="I39" s="28"/>
    </row>
    <row r="40" spans="1:9" s="49" customFormat="1" ht="12.75">
      <c r="A40" s="48" t="s">
        <v>390</v>
      </c>
      <c r="B40" s="36" t="s">
        <v>288</v>
      </c>
      <c r="C40" s="32"/>
      <c r="D40" s="27">
        <f aca="true" t="shared" si="1" ref="D40:D47">+D13*0.3</f>
        <v>150000</v>
      </c>
      <c r="E40" s="27">
        <f>D40*(1+E4)</f>
        <v>156000</v>
      </c>
      <c r="F40" s="27">
        <f>E40*(1+F4)</f>
        <v>162240</v>
      </c>
      <c r="G40" s="27">
        <f>F40*(1+G4)</f>
        <v>168729.6</v>
      </c>
      <c r="H40" s="27">
        <f>G40*(1+H4)</f>
        <v>175478.784</v>
      </c>
      <c r="I40" s="28"/>
    </row>
    <row r="41" spans="1:11" s="49" customFormat="1" ht="12.75">
      <c r="A41" s="48" t="s">
        <v>399</v>
      </c>
      <c r="B41" s="36" t="s">
        <v>288</v>
      </c>
      <c r="C41" s="32"/>
      <c r="D41" s="27">
        <f t="shared" si="1"/>
        <v>270000</v>
      </c>
      <c r="E41" s="27">
        <f>D41*(1+E4)</f>
        <v>280800</v>
      </c>
      <c r="F41" s="27">
        <f>E41*(1+F4)</f>
        <v>292032</v>
      </c>
      <c r="G41" s="27">
        <f>F41*(1+G4)</f>
        <v>303713.28</v>
      </c>
      <c r="H41" s="27">
        <f>G41*(1+H4)</f>
        <v>315861.81120000005</v>
      </c>
      <c r="I41" s="28"/>
      <c r="K41" s="162"/>
    </row>
    <row r="42" spans="1:9" s="49" customFormat="1" ht="12.75">
      <c r="A42" s="48" t="s">
        <v>392</v>
      </c>
      <c r="B42" s="36" t="s">
        <v>288</v>
      </c>
      <c r="C42" s="32"/>
      <c r="D42" s="27">
        <f t="shared" si="1"/>
        <v>180000</v>
      </c>
      <c r="E42" s="27">
        <f>D42*(1+E4)</f>
        <v>187200</v>
      </c>
      <c r="F42" s="27">
        <f>E42*(1+F4)</f>
        <v>194688</v>
      </c>
      <c r="G42" s="27">
        <f>F42*(1+G4)</f>
        <v>202475.52000000002</v>
      </c>
      <c r="H42" s="27">
        <f>G42*(1+H4)</f>
        <v>210574.54080000002</v>
      </c>
      <c r="I42" s="28"/>
    </row>
    <row r="43" spans="1:9" s="49" customFormat="1" ht="12.75">
      <c r="A43" s="48" t="s">
        <v>393</v>
      </c>
      <c r="B43" s="36" t="s">
        <v>288</v>
      </c>
      <c r="C43" s="32"/>
      <c r="D43" s="27">
        <f t="shared" si="1"/>
        <v>75000</v>
      </c>
      <c r="E43" s="27">
        <f>D43*(1+E4)</f>
        <v>78000</v>
      </c>
      <c r="F43" s="27">
        <f>E43*(1+F4)</f>
        <v>81120</v>
      </c>
      <c r="G43" s="27">
        <f>F43*(1+G4)</f>
        <v>84364.8</v>
      </c>
      <c r="H43" s="27">
        <f>G43*(1+H4)</f>
        <v>87739.392</v>
      </c>
      <c r="I43" s="28"/>
    </row>
    <row r="44" spans="1:9" s="49" customFormat="1" ht="12.75">
      <c r="A44" s="48" t="s">
        <v>394</v>
      </c>
      <c r="B44" s="36" t="s">
        <v>288</v>
      </c>
      <c r="C44" s="32"/>
      <c r="D44" s="27">
        <f t="shared" si="1"/>
        <v>150000</v>
      </c>
      <c r="E44" s="27">
        <f>D44*(1+E4)</f>
        <v>156000</v>
      </c>
      <c r="F44" s="27">
        <f>E44*(1+F4)</f>
        <v>162240</v>
      </c>
      <c r="G44" s="27">
        <f>F44*(1+G4)</f>
        <v>168729.6</v>
      </c>
      <c r="H44" s="27">
        <f>G44*(1+H4)</f>
        <v>175478.784</v>
      </c>
      <c r="I44" s="28"/>
    </row>
    <row r="45" spans="1:9" s="49" customFormat="1" ht="12.75">
      <c r="A45" s="48" t="s">
        <v>395</v>
      </c>
      <c r="B45" s="36" t="s">
        <v>288</v>
      </c>
      <c r="C45" s="32"/>
      <c r="D45" s="27">
        <f t="shared" si="1"/>
        <v>21000</v>
      </c>
      <c r="E45" s="27">
        <f>D45*(1+E4)</f>
        <v>21840</v>
      </c>
      <c r="F45" s="27">
        <f>E45*(1+F4)</f>
        <v>22713.600000000002</v>
      </c>
      <c r="G45" s="27">
        <f>F45*(1+G4)</f>
        <v>23622.144000000004</v>
      </c>
      <c r="H45" s="27">
        <f>G45*(1+H4)</f>
        <v>24567.029760000005</v>
      </c>
      <c r="I45" s="28"/>
    </row>
    <row r="46" spans="1:9" s="49" customFormat="1" ht="12.75">
      <c r="A46" s="48" t="s">
        <v>396</v>
      </c>
      <c r="B46" s="36" t="s">
        <v>288</v>
      </c>
      <c r="C46" s="32"/>
      <c r="D46" s="27">
        <f t="shared" si="1"/>
        <v>45000</v>
      </c>
      <c r="E46" s="27">
        <f>D46*(1+E4)</f>
        <v>46800</v>
      </c>
      <c r="F46" s="27">
        <f>E46*(1+F4)</f>
        <v>48672</v>
      </c>
      <c r="G46" s="27">
        <f>F46*(1+G4)</f>
        <v>50618.880000000005</v>
      </c>
      <c r="H46" s="27">
        <f>G46*(1+H4)</f>
        <v>52643.635200000004</v>
      </c>
      <c r="I46" s="28"/>
    </row>
    <row r="47" spans="1:10" s="49" customFormat="1" ht="12.75">
      <c r="A47" s="48"/>
      <c r="B47" s="36"/>
      <c r="C47" s="32"/>
      <c r="D47" s="27">
        <f t="shared" si="1"/>
        <v>0</v>
      </c>
      <c r="E47" s="27">
        <f>D47*(1+E4)</f>
        <v>0</v>
      </c>
      <c r="F47" s="27">
        <f>E47*(1+F4)</f>
        <v>0</v>
      </c>
      <c r="G47" s="27">
        <f>F47*(1+G4)</f>
        <v>0</v>
      </c>
      <c r="H47" s="27">
        <f>G47*(1+H4)</f>
        <v>0</v>
      </c>
      <c r="I47" s="28"/>
      <c r="J47" s="158"/>
    </row>
    <row r="48" spans="1:8" ht="12.75">
      <c r="A48" s="156" t="s">
        <v>297</v>
      </c>
      <c r="B48" s="31"/>
      <c r="D48" s="33"/>
      <c r="E48" s="33"/>
      <c r="F48" s="33"/>
      <c r="G48" s="33"/>
      <c r="H48" s="33"/>
    </row>
    <row r="49" spans="1:9" s="49" customFormat="1" ht="12.75">
      <c r="A49" s="48" t="s">
        <v>389</v>
      </c>
      <c r="B49" s="36" t="s">
        <v>288</v>
      </c>
      <c r="C49" s="159"/>
      <c r="D49" s="27">
        <v>10000</v>
      </c>
      <c r="E49" s="27">
        <f>D49*(1+E4)</f>
        <v>10400</v>
      </c>
      <c r="F49" s="27">
        <f>E49*(1+F4)</f>
        <v>10816</v>
      </c>
      <c r="G49" s="27">
        <f>F49*(1+G4)</f>
        <v>11248.640000000001</v>
      </c>
      <c r="H49" s="27">
        <f>G49*(1+H4)</f>
        <v>11698.585600000002</v>
      </c>
      <c r="I49" s="28"/>
    </row>
    <row r="50" spans="1:10" s="49" customFormat="1" ht="12.75">
      <c r="A50" s="48" t="s">
        <v>390</v>
      </c>
      <c r="B50" s="36" t="s">
        <v>288</v>
      </c>
      <c r="C50" s="32"/>
      <c r="D50" s="27">
        <v>40000</v>
      </c>
      <c r="E50" s="27">
        <f>D50*(1+E4)</f>
        <v>41600</v>
      </c>
      <c r="F50" s="27">
        <f>E50*(1+F4)</f>
        <v>43264</v>
      </c>
      <c r="G50" s="27">
        <f>F50*(1+G4)</f>
        <v>44994.560000000005</v>
      </c>
      <c r="H50" s="27">
        <f>G50*(1+H4)</f>
        <v>46794.34240000001</v>
      </c>
      <c r="I50" s="28"/>
      <c r="J50" s="158"/>
    </row>
    <row r="51" spans="1:9" s="49" customFormat="1" ht="12.75">
      <c r="A51" s="48" t="s">
        <v>399</v>
      </c>
      <c r="B51" s="36" t="s">
        <v>288</v>
      </c>
      <c r="C51" s="32"/>
      <c r="D51" s="27">
        <v>40000</v>
      </c>
      <c r="E51" s="27">
        <f>D51*(1+E4)</f>
        <v>41600</v>
      </c>
      <c r="F51" s="27">
        <f>E51*(1+F4)</f>
        <v>43264</v>
      </c>
      <c r="G51" s="27">
        <f>F51*(1+G4)</f>
        <v>44994.560000000005</v>
      </c>
      <c r="H51" s="27">
        <f>G51*(1+H4)</f>
        <v>46794.34240000001</v>
      </c>
      <c r="I51" s="28"/>
    </row>
    <row r="52" spans="1:9" s="49" customFormat="1" ht="12.75">
      <c r="A52" s="48" t="s">
        <v>392</v>
      </c>
      <c r="B52" s="36" t="s">
        <v>288</v>
      </c>
      <c r="C52" s="32"/>
      <c r="D52" s="27">
        <v>50000</v>
      </c>
      <c r="E52" s="27">
        <f>D52*(1+E4)</f>
        <v>52000</v>
      </c>
      <c r="F52" s="27">
        <f>E52*(1+F4)</f>
        <v>54080</v>
      </c>
      <c r="G52" s="27">
        <f>F52*(1+G4)</f>
        <v>56243.200000000004</v>
      </c>
      <c r="H52" s="27">
        <f>G52*(1+H4)</f>
        <v>58492.92800000001</v>
      </c>
      <c r="I52" s="28"/>
    </row>
    <row r="53" spans="1:9" s="49" customFormat="1" ht="12.75">
      <c r="A53" s="48" t="s">
        <v>393</v>
      </c>
      <c r="B53" s="36" t="s">
        <v>288</v>
      </c>
      <c r="C53" s="32"/>
      <c r="D53" s="27">
        <v>30000</v>
      </c>
      <c r="E53" s="27">
        <f>D53*(1+E4)</f>
        <v>31200</v>
      </c>
      <c r="F53" s="27">
        <f>E53*(1+F4)</f>
        <v>32448</v>
      </c>
      <c r="G53" s="27">
        <f>F53*(1+G4)</f>
        <v>33745.92</v>
      </c>
      <c r="H53" s="27">
        <f>G53*(1+H4)</f>
        <v>35095.7568</v>
      </c>
      <c r="I53" s="28"/>
    </row>
    <row r="54" spans="1:9" s="49" customFormat="1" ht="12.75">
      <c r="A54" s="48" t="s">
        <v>394</v>
      </c>
      <c r="B54" s="36" t="s">
        <v>288</v>
      </c>
      <c r="C54" s="32"/>
      <c r="D54" s="27">
        <v>90000</v>
      </c>
      <c r="E54" s="27">
        <f>D54*(1+E4)</f>
        <v>93600</v>
      </c>
      <c r="F54" s="27">
        <f>E54*(1+F4)</f>
        <v>97344</v>
      </c>
      <c r="G54" s="27">
        <f>F54*(1+G4)</f>
        <v>101237.76000000001</v>
      </c>
      <c r="H54" s="27">
        <f>G54*(1+H4)</f>
        <v>105287.27040000001</v>
      </c>
      <c r="I54" s="28"/>
    </row>
    <row r="55" spans="1:9" s="49" customFormat="1" ht="12.75">
      <c r="A55" s="48" t="s">
        <v>395</v>
      </c>
      <c r="B55" s="36" t="s">
        <v>288</v>
      </c>
      <c r="C55" s="32"/>
      <c r="D55" s="27">
        <v>10000</v>
      </c>
      <c r="E55" s="27">
        <f>D55*(1+E4)</f>
        <v>10400</v>
      </c>
      <c r="F55" s="27">
        <f>E55*(1+F4)</f>
        <v>10816</v>
      </c>
      <c r="G55" s="27">
        <f>F55*(1+G4)</f>
        <v>11248.640000000001</v>
      </c>
      <c r="H55" s="27">
        <f>G55*(1+H4)</f>
        <v>11698.585600000002</v>
      </c>
      <c r="I55" s="28"/>
    </row>
    <row r="56" spans="1:9" s="49" customFormat="1" ht="12.75">
      <c r="A56" s="48" t="s">
        <v>396</v>
      </c>
      <c r="B56" s="36" t="s">
        <v>288</v>
      </c>
      <c r="C56" s="32"/>
      <c r="D56" s="27">
        <v>15000</v>
      </c>
      <c r="E56" s="27">
        <f>D56*(1+E4)</f>
        <v>15600</v>
      </c>
      <c r="F56" s="27">
        <f>E56*(1+F4)</f>
        <v>16224</v>
      </c>
      <c r="G56" s="27">
        <f>F56*(1+G4)</f>
        <v>16872.96</v>
      </c>
      <c r="H56" s="27">
        <f>G56*(1+H4)</f>
        <v>17547.8784</v>
      </c>
      <c r="I56" s="28"/>
    </row>
    <row r="57" spans="1:9" s="49" customFormat="1" ht="12.75">
      <c r="A57" s="48"/>
      <c r="B57" s="36"/>
      <c r="C57" s="32"/>
      <c r="D57" s="27">
        <v>0</v>
      </c>
      <c r="E57" s="27">
        <f>D57*(1+E4)</f>
        <v>0</v>
      </c>
      <c r="F57" s="27">
        <f>E57*(1+F4)</f>
        <v>0</v>
      </c>
      <c r="G57" s="27">
        <f>F57*(1+G4)</f>
        <v>0</v>
      </c>
      <c r="H57" s="27">
        <f>G57*(1+H4)</f>
        <v>0</v>
      </c>
      <c r="I57" s="28"/>
    </row>
    <row r="58" spans="1:8" ht="12.75">
      <c r="A58" s="156" t="s">
        <v>298</v>
      </c>
      <c r="B58" s="31"/>
      <c r="D58" s="33"/>
      <c r="E58" s="33"/>
      <c r="F58" s="33"/>
      <c r="G58" s="33"/>
      <c r="H58" s="33"/>
    </row>
    <row r="59" spans="1:9" s="55" customFormat="1" ht="12.75">
      <c r="A59" s="40" t="s">
        <v>286</v>
      </c>
      <c r="B59" s="36" t="s">
        <v>288</v>
      </c>
      <c r="C59" s="32"/>
      <c r="D59" s="50">
        <f>IF(D33=0,0,SUMPRODUCT(D22:D30,D39:D47)/D33)</f>
        <v>96890.10989010989</v>
      </c>
      <c r="E59" s="50">
        <f>IF(E33=0,0,SUMPRODUCT(E22:E30,E39:E47)/E33)</f>
        <v>87399.88882712618</v>
      </c>
      <c r="F59" s="50">
        <f>IF(F33=0,0,SUMPRODUCT(F22:F30,F39:F47)/F33)</f>
        <v>96054.92449981927</v>
      </c>
      <c r="G59" s="50">
        <f>IF(G33=0,0,SUMPRODUCT(G22:G30,G39:G47)/G33)</f>
        <v>102389.3826621575</v>
      </c>
      <c r="H59" s="50">
        <f>IF(H33=0,0,SUMPRODUCT(H22:H30,H39:H47)/H33)</f>
        <v>106484.51678516342</v>
      </c>
      <c r="I59" s="28"/>
    </row>
    <row r="60" spans="1:9" s="55" customFormat="1" ht="12.75">
      <c r="A60" s="40" t="s">
        <v>287</v>
      </c>
      <c r="B60" s="36" t="s">
        <v>288</v>
      </c>
      <c r="C60" s="32"/>
      <c r="D60" s="50">
        <f>IF(D33=0,0,SUMPRODUCT(D22:D30,D49:D57)/D33)</f>
        <v>31868.13186813187</v>
      </c>
      <c r="E60" s="50">
        <f>IF(E33=0,0,SUMPRODUCT(E22:E30,E49:E57)/E33)</f>
        <v>29442.579210672597</v>
      </c>
      <c r="F60" s="50">
        <f>IF(F33=0,0,SUMPRODUCT(F22:F30,F49:F57)/F33)</f>
        <v>31319.325920098658</v>
      </c>
      <c r="G60" s="50">
        <f>IF(G33=0,0,SUMPRODUCT(G22:G30,G49:G57)/G33)</f>
        <v>33076.60822249749</v>
      </c>
      <c r="H60" s="50">
        <f>IF(H33=0,0,SUMPRODUCT(H22:H30,H49:H57)/H33)</f>
        <v>33918.93930770482</v>
      </c>
      <c r="I60" s="28"/>
    </row>
    <row r="61" spans="1:9" s="55" customFormat="1" ht="12.75">
      <c r="A61" s="40" t="s">
        <v>122</v>
      </c>
      <c r="B61" s="36" t="s">
        <v>288</v>
      </c>
      <c r="C61" s="32"/>
      <c r="D61" s="52">
        <f>D59+D60</f>
        <v>128758.24175824175</v>
      </c>
      <c r="E61" s="52">
        <f>E59+E60</f>
        <v>116842.46803779878</v>
      </c>
      <c r="F61" s="52">
        <f>F59+F60</f>
        <v>127374.25041991792</v>
      </c>
      <c r="G61" s="52">
        <f>G59+G60</f>
        <v>135465.99088465498</v>
      </c>
      <c r="H61" s="52">
        <f>H59+H60</f>
        <v>140403.45609286823</v>
      </c>
      <c r="I61" s="28"/>
    </row>
    <row r="62" spans="1:8" ht="12.75">
      <c r="A62" s="156" t="s">
        <v>289</v>
      </c>
      <c r="B62" s="31"/>
      <c r="D62" s="271"/>
      <c r="E62" s="33"/>
      <c r="F62" s="33"/>
      <c r="G62" s="33"/>
      <c r="H62" s="33"/>
    </row>
    <row r="63" spans="1:9" s="55" customFormat="1" ht="12.75">
      <c r="A63" s="40" t="s">
        <v>289</v>
      </c>
      <c r="B63" s="36" t="s">
        <v>4</v>
      </c>
      <c r="C63" s="32"/>
      <c r="D63" s="27">
        <v>0</v>
      </c>
      <c r="E63" s="27">
        <f>+D63*1.05</f>
        <v>0</v>
      </c>
      <c r="F63" s="27">
        <f>+E63*1.05</f>
        <v>0</v>
      </c>
      <c r="G63" s="27">
        <f>+F63*1.05</f>
        <v>0</v>
      </c>
      <c r="H63" s="27">
        <f>+G63*1.05</f>
        <v>0</v>
      </c>
      <c r="I63" s="28"/>
    </row>
    <row r="64" spans="1:8" ht="12.75">
      <c r="A64" s="156" t="s">
        <v>291</v>
      </c>
      <c r="B64" s="31"/>
      <c r="D64" s="33"/>
      <c r="E64" s="33"/>
      <c r="F64" s="33"/>
      <c r="G64" s="33"/>
      <c r="H64" s="33"/>
    </row>
    <row r="65" spans="1:9" s="55" customFormat="1" ht="12.75">
      <c r="A65" s="40" t="s">
        <v>20</v>
      </c>
      <c r="B65" s="36" t="s">
        <v>4</v>
      </c>
      <c r="C65" s="32"/>
      <c r="D65" s="54">
        <f>D59*D33</f>
        <v>44085000</v>
      </c>
      <c r="E65" s="54">
        <f>E59*E33</f>
        <v>39308100</v>
      </c>
      <c r="F65" s="54">
        <f>F59*F33</f>
        <v>56471890.800000004</v>
      </c>
      <c r="G65" s="54">
        <f>G59*G33</f>
        <v>75064920.09120002</v>
      </c>
      <c r="H65" s="54">
        <f>H59*H33</f>
        <v>99810922.47684482</v>
      </c>
      <c r="I65" s="28"/>
    </row>
    <row r="66" spans="1:9" s="55" customFormat="1" ht="12.75">
      <c r="A66" s="40" t="s">
        <v>21</v>
      </c>
      <c r="B66" s="36" t="s">
        <v>4</v>
      </c>
      <c r="C66" s="32"/>
      <c r="D66" s="54">
        <f>D60*D33</f>
        <v>14500000</v>
      </c>
      <c r="E66" s="54">
        <f>E60*E33</f>
        <v>13241800</v>
      </c>
      <c r="F66" s="54">
        <f>F60*F33</f>
        <v>18413023.200000003</v>
      </c>
      <c r="G66" s="54">
        <f>G60*G33</f>
        <v>24249515.804800004</v>
      </c>
      <c r="H66" s="54">
        <f>H60*H33</f>
        <v>31793172.6033792</v>
      </c>
      <c r="I66" s="28"/>
    </row>
    <row r="67" spans="1:10" s="55" customFormat="1" ht="13.5" customHeight="1">
      <c r="A67" s="40" t="s">
        <v>122</v>
      </c>
      <c r="B67" s="36" t="s">
        <v>4</v>
      </c>
      <c r="C67" s="32"/>
      <c r="D67" s="56">
        <f>D65+D66</f>
        <v>58585000</v>
      </c>
      <c r="E67" s="54">
        <f>E65+E66</f>
        <v>52549900</v>
      </c>
      <c r="F67" s="54">
        <f>F65+F66</f>
        <v>74884914</v>
      </c>
      <c r="G67" s="54">
        <f>G65+G66</f>
        <v>99314435.89600003</v>
      </c>
      <c r="H67" s="54">
        <f>H65+H66</f>
        <v>131604095.08022402</v>
      </c>
      <c r="I67" s="28"/>
      <c r="J67" s="157"/>
    </row>
    <row r="68" spans="1:9" s="45" customFormat="1" ht="12.75">
      <c r="A68" s="40" t="s">
        <v>22</v>
      </c>
      <c r="B68" s="36" t="s">
        <v>4</v>
      </c>
      <c r="C68" s="32"/>
      <c r="D68" s="54"/>
      <c r="E68" s="54"/>
      <c r="F68" s="54"/>
      <c r="G68" s="54"/>
      <c r="H68" s="54"/>
      <c r="I68" s="28"/>
    </row>
    <row r="69" spans="1:9" s="45" customFormat="1" ht="12.75">
      <c r="A69" s="40" t="s">
        <v>239</v>
      </c>
      <c r="B69" s="36" t="s">
        <v>4</v>
      </c>
      <c r="C69" s="32"/>
      <c r="D69" s="54">
        <f>Proyecciones!D151+Proyecciones!D158+Semovientes!C24+Permanentes!C24</f>
        <v>0</v>
      </c>
      <c r="E69" s="54">
        <f>Proyecciones!E151+Proyecciones!E158+Semovientes!D24+Permanentes!D24</f>
        <v>0</v>
      </c>
      <c r="F69" s="54">
        <f>Proyecciones!F151+Proyecciones!F158+Semovientes!E24+Permanentes!E24</f>
        <v>0</v>
      </c>
      <c r="G69" s="54">
        <f>Proyecciones!G151+Proyecciones!G158+Semovientes!F24+Permanentes!F24</f>
        <v>0</v>
      </c>
      <c r="H69" s="54">
        <f>Proyecciones!H151+Proyecciones!H158+Semovientes!G24+Permanentes!G24</f>
        <v>0</v>
      </c>
      <c r="I69" s="28"/>
    </row>
    <row r="70" spans="1:9" s="55" customFormat="1" ht="12.75">
      <c r="A70" s="40" t="s">
        <v>23</v>
      </c>
      <c r="B70" s="36" t="s">
        <v>4</v>
      </c>
      <c r="C70" s="32"/>
      <c r="D70" s="54">
        <f>SUM(D67:D69)</f>
        <v>58585000</v>
      </c>
      <c r="E70" s="54">
        <f>SUM(E67:E69)</f>
        <v>52549900</v>
      </c>
      <c r="F70" s="54">
        <f>SUM(F67:F69)</f>
        <v>74884914</v>
      </c>
      <c r="G70" s="54">
        <f>SUM(G67:G69)</f>
        <v>99314435.89600003</v>
      </c>
      <c r="H70" s="54">
        <f>SUM(H67:H69)</f>
        <v>131604095.08022402</v>
      </c>
      <c r="I70" s="28"/>
    </row>
    <row r="71" spans="1:9" s="55" customFormat="1" ht="12.75">
      <c r="A71" s="57" t="s">
        <v>123</v>
      </c>
      <c r="B71" s="36" t="s">
        <v>4</v>
      </c>
      <c r="C71" s="32"/>
      <c r="D71" s="58">
        <f>IF(ISERROR(D70/D34),"N.A.",1-D70/D34)</f>
        <v>0.6013269819666553</v>
      </c>
      <c r="E71" s="58">
        <f>IF(ISERROR(E70/E34),"N.A.",1-E70/E34)</f>
        <v>0.5989383867447167</v>
      </c>
      <c r="F71" s="58">
        <f>IF(ISERROR(F70/F34),"N.A.",1-F70/F34)</f>
        <v>0.6021830705197496</v>
      </c>
      <c r="G71" s="58">
        <f>IF(ISERROR(G70/G34),"N.A.",1-G70/G34)</f>
        <v>0.6030858258078282</v>
      </c>
      <c r="H71" s="58">
        <f>IF(ISERROR(H70/H34),"N.A.",1-H70/H34)</f>
        <v>0.6044397993293122</v>
      </c>
      <c r="I71" s="28"/>
    </row>
    <row r="72" spans="1:8" ht="12.75">
      <c r="A72" s="156" t="s">
        <v>165</v>
      </c>
      <c r="B72" s="31"/>
      <c r="D72" s="33"/>
      <c r="E72" s="33"/>
      <c r="F72" s="33"/>
      <c r="G72" s="33"/>
      <c r="H72" s="33"/>
    </row>
    <row r="73" spans="1:8" ht="12.75">
      <c r="A73" s="40" t="s">
        <v>12</v>
      </c>
      <c r="B73" s="36" t="s">
        <v>4</v>
      </c>
      <c r="D73" s="27">
        <f>+'Nomina '!I31</f>
        <v>14900283.972608</v>
      </c>
      <c r="E73" s="27">
        <f>+D73*(1+E4)</f>
        <v>15496295.33151232</v>
      </c>
      <c r="F73" s="27">
        <f>+E73*(1+F4)</f>
        <v>16116147.144772815</v>
      </c>
      <c r="G73" s="27">
        <f>+F73*(1+G4)</f>
        <v>16760793.030563727</v>
      </c>
      <c r="H73" s="27">
        <f>+G73*(1+H4)</f>
        <v>17431224.751786277</v>
      </c>
    </row>
    <row r="74" spans="1:9" s="45" customFormat="1" ht="12.75">
      <c r="A74" s="40" t="s">
        <v>13</v>
      </c>
      <c r="B74" s="36" t="s">
        <v>4</v>
      </c>
      <c r="C74" s="32"/>
      <c r="D74" s="27">
        <f>+'Gastos de administraci y ventas'!B11</f>
        <v>62016898.20864</v>
      </c>
      <c r="E74" s="27">
        <f>+D74*(1+E4)</f>
        <v>64497574.13698561</v>
      </c>
      <c r="F74" s="27">
        <f>+E74*(1+F4)</f>
        <v>67077477.10246503</v>
      </c>
      <c r="G74" s="27">
        <f>+F74*(1+G4)</f>
        <v>69760576.18656364</v>
      </c>
      <c r="H74" s="27">
        <f>+G74*(1+H4)</f>
        <v>72550999.2340262</v>
      </c>
      <c r="I74" s="28"/>
    </row>
    <row r="75" spans="1:9" s="45" customFormat="1" ht="13.5" thickBot="1">
      <c r="A75" s="59" t="s">
        <v>284</v>
      </c>
      <c r="B75" s="36" t="s">
        <v>4</v>
      </c>
      <c r="C75" s="32"/>
      <c r="D75" s="54">
        <f>D73+D74</f>
        <v>76917182.18124801</v>
      </c>
      <c r="E75" s="54">
        <f>E73+E74</f>
        <v>79993869.46849793</v>
      </c>
      <c r="F75" s="54">
        <f>F73+F74</f>
        <v>83193624.24723785</v>
      </c>
      <c r="G75" s="54">
        <f>G73+G74</f>
        <v>86521369.21712737</v>
      </c>
      <c r="H75" s="54">
        <f>H73+H74</f>
        <v>89982223.98581247</v>
      </c>
      <c r="I75" s="28"/>
    </row>
    <row r="76" spans="1:8" ht="14.25" thickBot="1" thickTop="1">
      <c r="A76" s="154" t="s">
        <v>167</v>
      </c>
      <c r="B76" s="31"/>
      <c r="D76" s="28"/>
      <c r="E76" s="28"/>
      <c r="F76" s="28"/>
      <c r="G76" s="28"/>
      <c r="H76" s="28"/>
    </row>
    <row r="77" spans="1:10" ht="13.5" thickTop="1">
      <c r="A77" s="156" t="s">
        <v>7</v>
      </c>
      <c r="B77" s="31"/>
      <c r="D77" s="28"/>
      <c r="E77" s="28"/>
      <c r="F77" s="28"/>
      <c r="G77" s="28"/>
      <c r="H77" s="28"/>
      <c r="J77" s="166"/>
    </row>
    <row r="78" spans="1:8" ht="12.75">
      <c r="A78" s="40" t="s">
        <v>169</v>
      </c>
      <c r="B78" s="36" t="s">
        <v>8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</row>
    <row r="79" spans="1:8" ht="12.75">
      <c r="A79" s="40" t="s">
        <v>125</v>
      </c>
      <c r="B79" s="36" t="s">
        <v>4</v>
      </c>
      <c r="C79" s="27">
        <v>0</v>
      </c>
      <c r="D79" s="54">
        <f>D34*D78/360</f>
        <v>0</v>
      </c>
      <c r="E79" s="54">
        <f>E34*E78/360</f>
        <v>0</v>
      </c>
      <c r="F79" s="54">
        <f>F34*F78/360</f>
        <v>0</v>
      </c>
      <c r="G79" s="54">
        <f>G34*G78/360</f>
        <v>0</v>
      </c>
      <c r="H79" s="54">
        <f>H34*H78/360</f>
        <v>0</v>
      </c>
    </row>
    <row r="80" spans="1:10" ht="12.75" outlineLevel="1">
      <c r="A80" s="40" t="s">
        <v>126</v>
      </c>
      <c r="B80" s="36" t="s">
        <v>4</v>
      </c>
      <c r="D80" s="54">
        <f>C79-D79</f>
        <v>0</v>
      </c>
      <c r="E80" s="54">
        <f>D79-E79</f>
        <v>0</v>
      </c>
      <c r="F80" s="54">
        <f>E79-F79</f>
        <v>0</v>
      </c>
      <c r="G80" s="54">
        <f>F79-G79</f>
        <v>0</v>
      </c>
      <c r="H80" s="54">
        <f>G79-H79</f>
        <v>0</v>
      </c>
      <c r="J80" s="55"/>
    </row>
    <row r="81" spans="1:8" ht="12.75" collapsed="1">
      <c r="A81" s="48" t="s">
        <v>142</v>
      </c>
      <c r="B81" s="36" t="s">
        <v>1</v>
      </c>
      <c r="C81" s="49"/>
      <c r="D81" s="60">
        <v>0</v>
      </c>
      <c r="E81" s="60">
        <v>0</v>
      </c>
      <c r="F81" s="60">
        <v>0</v>
      </c>
      <c r="G81" s="60">
        <v>0</v>
      </c>
      <c r="H81" s="60">
        <v>0</v>
      </c>
    </row>
    <row r="82" spans="1:8" ht="12.75" outlineLevel="1">
      <c r="A82" s="48" t="s">
        <v>142</v>
      </c>
      <c r="B82" s="36" t="s">
        <v>4</v>
      </c>
      <c r="C82" s="49"/>
      <c r="D82" s="61">
        <f>D81*D79</f>
        <v>0</v>
      </c>
      <c r="E82" s="61">
        <f>E81*E79</f>
        <v>0</v>
      </c>
      <c r="F82" s="61">
        <f>F81*F79</f>
        <v>0</v>
      </c>
      <c r="G82" s="61">
        <f>G81*G79</f>
        <v>0</v>
      </c>
      <c r="H82" s="61">
        <f>H81*H79</f>
        <v>0</v>
      </c>
    </row>
    <row r="83" spans="1:8" ht="12.75" outlineLevel="1">
      <c r="A83" s="40" t="s">
        <v>145</v>
      </c>
      <c r="B83" s="36" t="s">
        <v>4</v>
      </c>
      <c r="C83" s="49"/>
      <c r="D83" s="61">
        <f>D82-C82</f>
        <v>0</v>
      </c>
      <c r="E83" s="61">
        <f>E82-D82</f>
        <v>0</v>
      </c>
      <c r="F83" s="61">
        <f>F82-E82</f>
        <v>0</v>
      </c>
      <c r="G83" s="61">
        <f>G82-F82</f>
        <v>0</v>
      </c>
      <c r="H83" s="61">
        <f>H82-G82</f>
        <v>0</v>
      </c>
    </row>
    <row r="84" spans="1:8" ht="12.75" collapsed="1">
      <c r="A84" s="156" t="s">
        <v>166</v>
      </c>
      <c r="B84" s="31"/>
      <c r="D84" s="33"/>
      <c r="E84" s="33"/>
      <c r="F84" s="33"/>
      <c r="G84" s="33"/>
      <c r="H84" s="34"/>
    </row>
    <row r="85" spans="1:8" ht="12.75">
      <c r="A85" s="40" t="s">
        <v>170</v>
      </c>
      <c r="B85" s="36" t="s">
        <v>151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</row>
    <row r="86" spans="1:8" s="45" customFormat="1" ht="12.75">
      <c r="A86" s="40" t="s">
        <v>171</v>
      </c>
      <c r="B86" s="36" t="s">
        <v>4</v>
      </c>
      <c r="C86" s="27">
        <v>0</v>
      </c>
      <c r="D86" s="54">
        <f>D85*D70/360</f>
        <v>0</v>
      </c>
      <c r="E86" s="54">
        <f>E85*E70/360</f>
        <v>0</v>
      </c>
      <c r="F86" s="54">
        <f>F85*F70/360</f>
        <v>0</v>
      </c>
      <c r="G86" s="54">
        <f>G85*G70/360</f>
        <v>0</v>
      </c>
      <c r="H86" s="54">
        <f>H85*H70/360</f>
        <v>0</v>
      </c>
    </row>
    <row r="87" spans="1:8" s="45" customFormat="1" ht="12.75" outlineLevel="1">
      <c r="A87" s="40" t="s">
        <v>172</v>
      </c>
      <c r="B87" s="36" t="s">
        <v>4</v>
      </c>
      <c r="C87" s="32"/>
      <c r="D87" s="54">
        <f>C86-D86</f>
        <v>0</v>
      </c>
      <c r="E87" s="54">
        <f>D86-E86</f>
        <v>0</v>
      </c>
      <c r="F87" s="54">
        <f>E86-F86</f>
        <v>0</v>
      </c>
      <c r="G87" s="54">
        <f>F86-G86</f>
        <v>0</v>
      </c>
      <c r="H87" s="54">
        <f>G86-H86</f>
        <v>0</v>
      </c>
    </row>
    <row r="88" spans="1:8" ht="12.75" collapsed="1">
      <c r="A88" s="40" t="s">
        <v>173</v>
      </c>
      <c r="B88" s="36" t="s">
        <v>8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</row>
    <row r="89" spans="1:8" s="45" customFormat="1" ht="12.75">
      <c r="A89" s="40" t="s">
        <v>174</v>
      </c>
      <c r="B89" s="36" t="s">
        <v>4</v>
      </c>
      <c r="C89" s="27">
        <v>0</v>
      </c>
      <c r="D89" s="54">
        <f>D88*D70/360</f>
        <v>0</v>
      </c>
      <c r="E89" s="54">
        <f>E88*E70/360</f>
        <v>0</v>
      </c>
      <c r="F89" s="54">
        <f>F88*F70/360</f>
        <v>0</v>
      </c>
      <c r="G89" s="54">
        <f>G88*G70/360</f>
        <v>0</v>
      </c>
      <c r="H89" s="54">
        <f>H88*H70/360</f>
        <v>0</v>
      </c>
    </row>
    <row r="90" spans="1:8" s="45" customFormat="1" ht="12.75" outlineLevel="1">
      <c r="A90" s="40" t="s">
        <v>175</v>
      </c>
      <c r="B90" s="36" t="s">
        <v>4</v>
      </c>
      <c r="C90" s="32"/>
      <c r="D90" s="54">
        <f>C89-D89</f>
        <v>0</v>
      </c>
      <c r="E90" s="54">
        <f>D89-E89</f>
        <v>0</v>
      </c>
      <c r="F90" s="54">
        <f>E89-F89</f>
        <v>0</v>
      </c>
      <c r="G90" s="54">
        <f>F89-G89</f>
        <v>0</v>
      </c>
      <c r="H90" s="54">
        <f>G89-H89</f>
        <v>0</v>
      </c>
    </row>
    <row r="91" spans="1:8" ht="12.75" collapsed="1">
      <c r="A91" s="40" t="s">
        <v>176</v>
      </c>
      <c r="B91" s="36" t="s">
        <v>150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</row>
    <row r="92" spans="1:8" s="45" customFormat="1" ht="12.75">
      <c r="A92" s="40" t="s">
        <v>177</v>
      </c>
      <c r="B92" s="36" t="s">
        <v>4</v>
      </c>
      <c r="C92" s="27">
        <v>0</v>
      </c>
      <c r="D92" s="54">
        <f>D65*D91/360</f>
        <v>0</v>
      </c>
      <c r="E92" s="54">
        <f>E65*E91/360</f>
        <v>0</v>
      </c>
      <c r="F92" s="54">
        <f>F65*F91/360</f>
        <v>0</v>
      </c>
      <c r="G92" s="54">
        <f>G65*G91/360</f>
        <v>0</v>
      </c>
      <c r="H92" s="54">
        <f>H65*H91/360</f>
        <v>0</v>
      </c>
    </row>
    <row r="93" spans="1:8" ht="12.75" outlineLevel="1">
      <c r="A93" s="40" t="s">
        <v>178</v>
      </c>
      <c r="B93" s="36" t="s">
        <v>4</v>
      </c>
      <c r="D93" s="54">
        <f>C92-D92</f>
        <v>0</v>
      </c>
      <c r="E93" s="54">
        <f>D92-E92</f>
        <v>0</v>
      </c>
      <c r="F93" s="54">
        <f>E92-F92</f>
        <v>0</v>
      </c>
      <c r="G93" s="54">
        <f>F92-G92</f>
        <v>0</v>
      </c>
      <c r="H93" s="54">
        <f>G92-H92</f>
        <v>0</v>
      </c>
    </row>
    <row r="94" spans="1:8" ht="12.75" collapsed="1">
      <c r="A94" s="40" t="s">
        <v>218</v>
      </c>
      <c r="B94" s="36" t="s">
        <v>4</v>
      </c>
      <c r="D94" s="54">
        <f>D86+D89+D92</f>
        <v>0</v>
      </c>
      <c r="E94" s="54">
        <f>E86+E89+E92</f>
        <v>0</v>
      </c>
      <c r="F94" s="54">
        <f>F86+F89+F92</f>
        <v>0</v>
      </c>
      <c r="G94" s="54">
        <f>G86+G89+G92</f>
        <v>0</v>
      </c>
      <c r="H94" s="54">
        <f>H86+H89+H92</f>
        <v>0</v>
      </c>
    </row>
    <row r="95" spans="1:8" ht="12.75">
      <c r="A95" s="156" t="s">
        <v>234</v>
      </c>
      <c r="B95" s="31"/>
      <c r="D95" s="33"/>
      <c r="E95" s="33"/>
      <c r="F95" s="33"/>
      <c r="G95" s="33"/>
      <c r="H95" s="33"/>
    </row>
    <row r="96" spans="1:8" ht="12.75">
      <c r="A96" s="40" t="s">
        <v>234</v>
      </c>
      <c r="B96" s="36" t="s">
        <v>4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</row>
    <row r="97" spans="1:8" s="45" customFormat="1" ht="12.75" outlineLevel="1">
      <c r="A97" s="40" t="s">
        <v>235</v>
      </c>
      <c r="B97" s="36" t="s">
        <v>4</v>
      </c>
      <c r="C97" s="32"/>
      <c r="D97" s="54">
        <f>D96-C96</f>
        <v>0</v>
      </c>
      <c r="E97" s="54">
        <f>E96-D96</f>
        <v>0</v>
      </c>
      <c r="F97" s="54">
        <f>F96-E96</f>
        <v>0</v>
      </c>
      <c r="G97" s="54">
        <f>G96-F96</f>
        <v>0</v>
      </c>
      <c r="H97" s="54">
        <f>H96-G96</f>
        <v>0</v>
      </c>
    </row>
    <row r="98" spans="1:8" ht="12.75" collapsed="1">
      <c r="A98" s="156" t="s">
        <v>237</v>
      </c>
      <c r="B98" s="31"/>
      <c r="D98" s="33"/>
      <c r="E98" s="33"/>
      <c r="F98" s="33"/>
      <c r="G98" s="33"/>
      <c r="H98" s="33"/>
    </row>
    <row r="99" spans="1:8" ht="12.75">
      <c r="A99" s="40" t="s">
        <v>237</v>
      </c>
      <c r="B99" s="36" t="s">
        <v>4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</row>
    <row r="100" spans="1:8" ht="12.75" outlineLevel="1">
      <c r="A100" s="40" t="s">
        <v>246</v>
      </c>
      <c r="B100" s="36" t="s">
        <v>4</v>
      </c>
      <c r="D100" s="54">
        <f>C99-D99</f>
        <v>0</v>
      </c>
      <c r="E100" s="54">
        <f>D99-E99</f>
        <v>0</v>
      </c>
      <c r="F100" s="54">
        <f>E99-F99</f>
        <v>0</v>
      </c>
      <c r="G100" s="54">
        <f>F99-G99</f>
        <v>0</v>
      </c>
      <c r="H100" s="54">
        <f>G99-H99</f>
        <v>0</v>
      </c>
    </row>
    <row r="101" spans="1:8" ht="12.75" collapsed="1">
      <c r="A101" s="156" t="s">
        <v>24</v>
      </c>
      <c r="B101" s="31"/>
      <c r="D101" s="33"/>
      <c r="E101" s="33"/>
      <c r="F101" s="33"/>
      <c r="G101" s="33"/>
      <c r="H101" s="34"/>
    </row>
    <row r="102" spans="1:8" s="55" customFormat="1" ht="12.75">
      <c r="A102" s="40" t="s">
        <v>226</v>
      </c>
      <c r="B102" s="36" t="s">
        <v>8</v>
      </c>
      <c r="C102" s="32"/>
      <c r="D102" s="27">
        <v>0</v>
      </c>
      <c r="E102" s="27">
        <v>0</v>
      </c>
      <c r="F102" s="27">
        <v>0</v>
      </c>
      <c r="G102" s="27">
        <v>0</v>
      </c>
      <c r="H102" s="27">
        <v>0</v>
      </c>
    </row>
    <row r="103" spans="1:8" s="45" customFormat="1" ht="12.75">
      <c r="A103" s="40" t="s">
        <v>226</v>
      </c>
      <c r="B103" s="36" t="s">
        <v>4</v>
      </c>
      <c r="C103" s="27">
        <v>0</v>
      </c>
      <c r="D103" s="54">
        <f>D67*D102/360</f>
        <v>0</v>
      </c>
      <c r="E103" s="54">
        <f>E67*E102/360</f>
        <v>0</v>
      </c>
      <c r="F103" s="54">
        <f>F67*F102/360</f>
        <v>0</v>
      </c>
      <c r="G103" s="54">
        <f>G67*G102/360</f>
        <v>0</v>
      </c>
      <c r="H103" s="54">
        <f>H67*H102/360</f>
        <v>0</v>
      </c>
    </row>
    <row r="104" spans="1:8" s="45" customFormat="1" ht="12.75" outlineLevel="1">
      <c r="A104" s="40" t="s">
        <v>227</v>
      </c>
      <c r="B104" s="36" t="s">
        <v>4</v>
      </c>
      <c r="C104" s="32"/>
      <c r="D104" s="54">
        <f>D103-C103</f>
        <v>0</v>
      </c>
      <c r="E104" s="54">
        <f>E103-D103</f>
        <v>0</v>
      </c>
      <c r="F104" s="54">
        <f>F103-E103</f>
        <v>0</v>
      </c>
      <c r="G104" s="54">
        <f>G103-F103</f>
        <v>0</v>
      </c>
      <c r="H104" s="54">
        <f>H103-G103</f>
        <v>0</v>
      </c>
    </row>
    <row r="105" spans="1:8" s="45" customFormat="1" ht="12.75" collapsed="1">
      <c r="A105" s="40" t="s">
        <v>228</v>
      </c>
      <c r="B105" s="36" t="s">
        <v>4</v>
      </c>
      <c r="C105" s="32"/>
      <c r="D105" s="27">
        <v>0</v>
      </c>
      <c r="E105" s="27">
        <v>0</v>
      </c>
      <c r="F105" s="27">
        <v>0</v>
      </c>
      <c r="G105" s="27">
        <v>0</v>
      </c>
      <c r="H105" s="27">
        <v>0</v>
      </c>
    </row>
    <row r="106" spans="1:8" s="45" customFormat="1" ht="12.75">
      <c r="A106" s="40" t="s">
        <v>229</v>
      </c>
      <c r="B106" s="36" t="s">
        <v>4</v>
      </c>
      <c r="C106" s="32"/>
      <c r="D106" s="54">
        <f>D105-C105</f>
        <v>0</v>
      </c>
      <c r="E106" s="54">
        <f>E105-D105</f>
        <v>0</v>
      </c>
      <c r="F106" s="54">
        <f>F105-E105</f>
        <v>0</v>
      </c>
      <c r="G106" s="54">
        <f>G105-F105</f>
        <v>0</v>
      </c>
      <c r="H106" s="54">
        <f>H105-G105</f>
        <v>0</v>
      </c>
    </row>
    <row r="107" spans="1:8" s="45" customFormat="1" ht="12.75">
      <c r="A107" s="40" t="s">
        <v>155</v>
      </c>
      <c r="B107" s="36" t="s">
        <v>4</v>
      </c>
      <c r="C107" s="32"/>
      <c r="D107" s="27">
        <v>0</v>
      </c>
      <c r="E107" s="27">
        <v>0</v>
      </c>
      <c r="F107" s="27">
        <v>0</v>
      </c>
      <c r="G107" s="27">
        <v>0</v>
      </c>
      <c r="H107" s="27">
        <v>0</v>
      </c>
    </row>
    <row r="108" spans="1:8" s="45" customFormat="1" ht="13.5" outlineLevel="1" thickBot="1">
      <c r="A108" s="40" t="s">
        <v>231</v>
      </c>
      <c r="B108" s="36" t="s">
        <v>4</v>
      </c>
      <c r="C108" s="32"/>
      <c r="D108" s="54">
        <f>D107-C107</f>
        <v>0</v>
      </c>
      <c r="E108" s="54">
        <f>E107-D107</f>
        <v>0</v>
      </c>
      <c r="F108" s="54">
        <f>F107-E107</f>
        <v>0</v>
      </c>
      <c r="G108" s="54">
        <f>G107-F107</f>
        <v>0</v>
      </c>
      <c r="H108" s="54">
        <f>H107-G107</f>
        <v>0</v>
      </c>
    </row>
    <row r="109" spans="1:8" ht="14.25" outlineLevel="1" thickBot="1" thickTop="1">
      <c r="A109" s="154" t="s">
        <v>179</v>
      </c>
      <c r="B109" s="31"/>
      <c r="C109" s="31"/>
      <c r="D109" s="31"/>
      <c r="E109" s="31"/>
      <c r="F109" s="31"/>
      <c r="G109" s="31"/>
      <c r="H109" s="31"/>
    </row>
    <row r="110" spans="1:8" ht="13.5" outlineLevel="1" thickTop="1">
      <c r="A110" s="156" t="s">
        <v>128</v>
      </c>
      <c r="B110" s="31"/>
      <c r="C110" s="31"/>
      <c r="D110" s="31"/>
      <c r="E110" s="31"/>
      <c r="F110" s="31"/>
      <c r="G110" s="31"/>
      <c r="H110" s="31"/>
    </row>
    <row r="111" spans="1:8" s="55" customFormat="1" ht="12.75" outlineLevel="1">
      <c r="A111" s="40" t="s">
        <v>129</v>
      </c>
      <c r="B111" s="36" t="s">
        <v>4</v>
      </c>
      <c r="C111" s="51">
        <v>0</v>
      </c>
      <c r="D111" s="54">
        <f>C111+D112</f>
        <v>0</v>
      </c>
      <c r="E111" s="54">
        <f>D111+E112</f>
        <v>0</v>
      </c>
      <c r="F111" s="54">
        <f>E111+F112</f>
        <v>0</v>
      </c>
      <c r="G111" s="54">
        <f>F111+G112</f>
        <v>0</v>
      </c>
      <c r="H111" s="54">
        <f>G111+H112</f>
        <v>0</v>
      </c>
    </row>
    <row r="112" spans="1:8" s="55" customFormat="1" ht="12.75" outlineLevel="1">
      <c r="A112" s="40" t="s">
        <v>14</v>
      </c>
      <c r="B112" s="36" t="s">
        <v>4</v>
      </c>
      <c r="C112" s="62"/>
      <c r="D112" s="54">
        <f>C111*D$4</f>
        <v>0</v>
      </c>
      <c r="E112" s="54">
        <f>D111*E$4</f>
        <v>0</v>
      </c>
      <c r="F112" s="54">
        <f>E111*F$4</f>
        <v>0</v>
      </c>
      <c r="G112" s="54">
        <f>F111*G$4</f>
        <v>0</v>
      </c>
      <c r="H112" s="54">
        <f>G111*H$4</f>
        <v>0</v>
      </c>
    </row>
    <row r="113" spans="1:9" ht="12.75" outlineLevel="1">
      <c r="A113" s="156" t="s">
        <v>130</v>
      </c>
      <c r="B113" s="31"/>
      <c r="I113" s="32"/>
    </row>
    <row r="114" spans="1:8" s="55" customFormat="1" ht="12.75" outlineLevel="1">
      <c r="A114" s="40" t="s">
        <v>129</v>
      </c>
      <c r="B114" s="36" t="s">
        <v>4</v>
      </c>
      <c r="C114" s="51">
        <f>C164</f>
        <v>10000000</v>
      </c>
      <c r="D114" s="54">
        <f>C114+D115</f>
        <v>10450000</v>
      </c>
      <c r="E114" s="54">
        <f>D114+E115</f>
        <v>10868000</v>
      </c>
      <c r="F114" s="54">
        <f>E114+F115</f>
        <v>11302720</v>
      </c>
      <c r="G114" s="54">
        <f>F114+G115</f>
        <v>11754828.8</v>
      </c>
      <c r="H114" s="54">
        <f>G114+H115</f>
        <v>12225021.952000001</v>
      </c>
    </row>
    <row r="115" spans="1:8" s="55" customFormat="1" ht="12.75" outlineLevel="1">
      <c r="A115" s="40" t="s">
        <v>14</v>
      </c>
      <c r="B115" s="36" t="s">
        <v>4</v>
      </c>
      <c r="C115" s="32"/>
      <c r="D115" s="54">
        <f>C114*D$6</f>
        <v>450000</v>
      </c>
      <c r="E115" s="54">
        <f>D114*E$6</f>
        <v>418000</v>
      </c>
      <c r="F115" s="54">
        <f>E114*F$6</f>
        <v>434720</v>
      </c>
      <c r="G115" s="54">
        <f>F114*G$6</f>
        <v>452108.8</v>
      </c>
      <c r="H115" s="54">
        <f>G114*H$6</f>
        <v>470193.15200000006</v>
      </c>
    </row>
    <row r="116" spans="1:8" s="45" customFormat="1" ht="12.75" outlineLevel="1">
      <c r="A116" s="40" t="s">
        <v>15</v>
      </c>
      <c r="B116" s="36" t="s">
        <v>4</v>
      </c>
      <c r="C116" s="32"/>
      <c r="D116" s="54">
        <f>IF(D$1&gt;Bases!$B$11,0,D114/Bases!$B$11)</f>
        <v>522500</v>
      </c>
      <c r="E116" s="54">
        <f>IF(E$1&gt;Bases!$B$11,0,E114/Bases!$B$11)</f>
        <v>543400</v>
      </c>
      <c r="F116" s="54">
        <f>IF(F$1&gt;Bases!$B$11,0,F114/Bases!$B$11)</f>
        <v>565136</v>
      </c>
      <c r="G116" s="54">
        <f>IF(G$1&gt;Bases!$B$11,0,G114/Bases!$B$11)</f>
        <v>587741.4400000001</v>
      </c>
      <c r="H116" s="54">
        <f>IF(H$1&gt;Bases!$B$11,0,H114/Bases!$B$11)</f>
        <v>611251.0976000001</v>
      </c>
    </row>
    <row r="117" spans="1:8" s="55" customFormat="1" ht="12.75" outlineLevel="1">
      <c r="A117" s="40" t="s">
        <v>16</v>
      </c>
      <c r="B117" s="36" t="s">
        <v>4</v>
      </c>
      <c r="C117" s="32"/>
      <c r="D117" s="54">
        <f>C118*D$6</f>
        <v>0</v>
      </c>
      <c r="E117" s="54">
        <f>D118*E$6</f>
        <v>20900</v>
      </c>
      <c r="F117" s="54">
        <f>E118*F$6</f>
        <v>43472</v>
      </c>
      <c r="G117" s="54">
        <f>F118*G$6</f>
        <v>67816.32</v>
      </c>
      <c r="H117" s="54">
        <f>G118*H$6</f>
        <v>94038.6304</v>
      </c>
    </row>
    <row r="118" spans="1:8" s="55" customFormat="1" ht="12.75" outlineLevel="1">
      <c r="A118" s="40" t="s">
        <v>17</v>
      </c>
      <c r="B118" s="36" t="s">
        <v>4</v>
      </c>
      <c r="C118" s="32"/>
      <c r="D118" s="54">
        <f>C118+D116+D117</f>
        <v>522500</v>
      </c>
      <c r="E118" s="54">
        <f>D118+E116+E117</f>
        <v>1086800</v>
      </c>
      <c r="F118" s="54">
        <f>E118+F116+F117</f>
        <v>1695408</v>
      </c>
      <c r="G118" s="54">
        <f>F118+G116+G117</f>
        <v>2350965.76</v>
      </c>
      <c r="H118" s="54">
        <f>G118+H116+H117</f>
        <v>3056255.488</v>
      </c>
    </row>
    <row r="119" spans="1:8" s="55" customFormat="1" ht="12.75" outlineLevel="1">
      <c r="A119" s="40" t="s">
        <v>18</v>
      </c>
      <c r="B119" s="36" t="s">
        <v>4</v>
      </c>
      <c r="C119" s="32"/>
      <c r="D119" s="54">
        <f>D114-D118</f>
        <v>9927500</v>
      </c>
      <c r="E119" s="54">
        <f>E114-E118</f>
        <v>9781200</v>
      </c>
      <c r="F119" s="54">
        <f>F114-F118</f>
        <v>9607312</v>
      </c>
      <c r="G119" s="54">
        <f>G114-G118</f>
        <v>9403863.040000001</v>
      </c>
      <c r="H119" s="54">
        <f>H114-H118</f>
        <v>9168766.464000002</v>
      </c>
    </row>
    <row r="120" spans="1:9" ht="12.75" outlineLevel="1">
      <c r="A120" s="156" t="s">
        <v>53</v>
      </c>
      <c r="B120" s="31"/>
      <c r="I120" s="32"/>
    </row>
    <row r="121" spans="1:8" s="55" customFormat="1" ht="12.75" outlineLevel="1">
      <c r="A121" s="40" t="s">
        <v>129</v>
      </c>
      <c r="B121" s="36" t="s">
        <v>4</v>
      </c>
      <c r="C121" s="51">
        <v>0</v>
      </c>
      <c r="D121" s="54">
        <f>C121+D122</f>
        <v>0</v>
      </c>
      <c r="E121" s="54">
        <f>D121+E122</f>
        <v>0</v>
      </c>
      <c r="F121" s="54">
        <f>E121+F122</f>
        <v>0</v>
      </c>
      <c r="G121" s="54">
        <f>F121+G122</f>
        <v>0</v>
      </c>
      <c r="H121" s="54">
        <f>G121+H122</f>
        <v>0</v>
      </c>
    </row>
    <row r="122" spans="1:8" s="55" customFormat="1" ht="12.75" outlineLevel="1">
      <c r="A122" s="40" t="s">
        <v>14</v>
      </c>
      <c r="B122" s="36" t="s">
        <v>4</v>
      </c>
      <c r="C122" s="32"/>
      <c r="D122" s="54">
        <f>C121*D$6</f>
        <v>0</v>
      </c>
      <c r="E122" s="54">
        <f>D121*E$6</f>
        <v>0</v>
      </c>
      <c r="F122" s="54">
        <f>E121*F$6</f>
        <v>0</v>
      </c>
      <c r="G122" s="54">
        <f>F121*G$6</f>
        <v>0</v>
      </c>
      <c r="H122" s="54">
        <f>G121*H$6</f>
        <v>0</v>
      </c>
    </row>
    <row r="123" spans="1:8" s="45" customFormat="1" ht="12.75" outlineLevel="1">
      <c r="A123" s="40" t="s">
        <v>15</v>
      </c>
      <c r="B123" s="36" t="s">
        <v>4</v>
      </c>
      <c r="C123" s="32"/>
      <c r="D123" s="54">
        <f>IF(D$1&gt;Bases!$B$12,0,D121/Bases!$B$12)</f>
        <v>0</v>
      </c>
      <c r="E123" s="54">
        <f>IF(E$1&gt;Bases!$B$12,0,E121/Bases!$B$12)</f>
        <v>0</v>
      </c>
      <c r="F123" s="54">
        <f>IF(F$1&gt;Bases!$B$12,0,F121/Bases!$B$12)</f>
        <v>0</v>
      </c>
      <c r="G123" s="54">
        <f>IF(G$1&gt;Bases!$B$12,0,G121/Bases!$B$12)</f>
        <v>0</v>
      </c>
      <c r="H123" s="54">
        <f>IF(H$1&gt;Bases!$B$12,0,H121/Bases!$B$12)</f>
        <v>0</v>
      </c>
    </row>
    <row r="124" spans="1:8" s="55" customFormat="1" ht="12.75" outlineLevel="1">
      <c r="A124" s="40" t="s">
        <v>16</v>
      </c>
      <c r="B124" s="36" t="s">
        <v>4</v>
      </c>
      <c r="C124" s="32"/>
      <c r="D124" s="54">
        <f>C125*D$6</f>
        <v>0</v>
      </c>
      <c r="E124" s="54">
        <f>D125*E$6</f>
        <v>0</v>
      </c>
      <c r="F124" s="54">
        <f>E125*F$6</f>
        <v>0</v>
      </c>
      <c r="G124" s="54">
        <f>F125*G$6</f>
        <v>0</v>
      </c>
      <c r="H124" s="54">
        <f>G125*H$6</f>
        <v>0</v>
      </c>
    </row>
    <row r="125" spans="1:8" s="55" customFormat="1" ht="12.75" outlineLevel="1">
      <c r="A125" s="40" t="s">
        <v>19</v>
      </c>
      <c r="B125" s="36" t="s">
        <v>4</v>
      </c>
      <c r="C125" s="32"/>
      <c r="D125" s="54">
        <f>C125+D123+D124</f>
        <v>0</v>
      </c>
      <c r="E125" s="54">
        <f>D125+E123+E124</f>
        <v>0</v>
      </c>
      <c r="F125" s="54">
        <f>E125+F123+F124</f>
        <v>0</v>
      </c>
      <c r="G125" s="54">
        <f>F125+G123+G124</f>
        <v>0</v>
      </c>
      <c r="H125" s="54">
        <f>G125+H123+H124</f>
        <v>0</v>
      </c>
    </row>
    <row r="126" spans="1:8" s="55" customFormat="1" ht="12.75" outlineLevel="1">
      <c r="A126" s="40" t="s">
        <v>18</v>
      </c>
      <c r="B126" s="36" t="s">
        <v>4</v>
      </c>
      <c r="C126" s="32"/>
      <c r="D126" s="54">
        <f>D121-D125</f>
        <v>0</v>
      </c>
      <c r="E126" s="54">
        <f>E121-E125</f>
        <v>0</v>
      </c>
      <c r="F126" s="54">
        <f>F121-F125</f>
        <v>0</v>
      </c>
      <c r="G126" s="54">
        <f>G121-G125</f>
        <v>0</v>
      </c>
      <c r="H126" s="54">
        <f>H121-H125</f>
        <v>0</v>
      </c>
    </row>
    <row r="127" spans="1:9" ht="12.75" outlineLevel="1">
      <c r="A127" s="156" t="s">
        <v>137</v>
      </c>
      <c r="B127" s="31"/>
      <c r="I127" s="32"/>
    </row>
    <row r="128" spans="1:8" s="55" customFormat="1" ht="12.75" outlineLevel="1">
      <c r="A128" s="40" t="s">
        <v>129</v>
      </c>
      <c r="B128" s="36" t="s">
        <v>4</v>
      </c>
      <c r="C128" s="51">
        <v>0</v>
      </c>
      <c r="D128" s="54">
        <f>C128+D129</f>
        <v>0</v>
      </c>
      <c r="E128" s="54">
        <f>D128+E129</f>
        <v>0</v>
      </c>
      <c r="F128" s="54">
        <f>E128+F129</f>
        <v>0</v>
      </c>
      <c r="G128" s="54">
        <f>F128+G129</f>
        <v>0</v>
      </c>
      <c r="H128" s="54">
        <f>G128+H129</f>
        <v>0</v>
      </c>
    </row>
    <row r="129" spans="1:11" s="55" customFormat="1" ht="12.75" outlineLevel="1">
      <c r="A129" s="40" t="s">
        <v>14</v>
      </c>
      <c r="B129" s="36" t="s">
        <v>4</v>
      </c>
      <c r="C129" s="32"/>
      <c r="D129" s="54">
        <f>C128*D$6</f>
        <v>0</v>
      </c>
      <c r="E129" s="54">
        <f>D128*E$6</f>
        <v>0</v>
      </c>
      <c r="F129" s="54">
        <f>E128*F$6</f>
        <v>0</v>
      </c>
      <c r="G129" s="54">
        <f>F128*G$6</f>
        <v>0</v>
      </c>
      <c r="H129" s="54">
        <f>G128*H$6</f>
        <v>0</v>
      </c>
      <c r="K129" s="163"/>
    </row>
    <row r="130" spans="1:8" s="45" customFormat="1" ht="12.75" outlineLevel="1">
      <c r="A130" s="40" t="s">
        <v>15</v>
      </c>
      <c r="B130" s="36" t="s">
        <v>4</v>
      </c>
      <c r="C130" s="32"/>
      <c r="D130" s="54">
        <f>IF(D$1&gt;Bases!$B$13,0,D128/Bases!$B$13)</f>
        <v>0</v>
      </c>
      <c r="E130" s="54">
        <f>IF(E$1&gt;Bases!$B$13,0,E128/Bases!$B$13)</f>
        <v>0</v>
      </c>
      <c r="F130" s="54">
        <f>IF(F$1&gt;Bases!$B$13,0,F128/Bases!$B$13)</f>
        <v>0</v>
      </c>
      <c r="G130" s="54">
        <f>IF(G$1&gt;Bases!$B$13,0,G128/Bases!$B$13)</f>
        <v>0</v>
      </c>
      <c r="H130" s="54">
        <f>IF(H$1&gt;Bases!$B$13,0,H128/Bases!$B$13)</f>
        <v>0</v>
      </c>
    </row>
    <row r="131" spans="1:8" s="55" customFormat="1" ht="12.75" outlineLevel="1">
      <c r="A131" s="40" t="s">
        <v>16</v>
      </c>
      <c r="B131" s="36" t="s">
        <v>4</v>
      </c>
      <c r="C131" s="32"/>
      <c r="D131" s="54">
        <f>C132*D$6</f>
        <v>0</v>
      </c>
      <c r="E131" s="54">
        <f>D132*E$6</f>
        <v>0</v>
      </c>
      <c r="F131" s="54">
        <f>E132*F$6</f>
        <v>0</v>
      </c>
      <c r="G131" s="54">
        <f>F132*G$6</f>
        <v>0</v>
      </c>
      <c r="H131" s="54">
        <f>G132*H$6</f>
        <v>0</v>
      </c>
    </row>
    <row r="132" spans="1:8" s="55" customFormat="1" ht="12.75" outlineLevel="1">
      <c r="A132" s="40" t="s">
        <v>19</v>
      </c>
      <c r="B132" s="36" t="s">
        <v>4</v>
      </c>
      <c r="C132" s="32"/>
      <c r="D132" s="54">
        <f>C132+D130+D131</f>
        <v>0</v>
      </c>
      <c r="E132" s="54">
        <f>D132+E130+E131</f>
        <v>0</v>
      </c>
      <c r="F132" s="54">
        <f>E132+F130+F131</f>
        <v>0</v>
      </c>
      <c r="G132" s="54">
        <f>F132+G130+G131</f>
        <v>0</v>
      </c>
      <c r="H132" s="54">
        <f>G132+H130+H131</f>
        <v>0</v>
      </c>
    </row>
    <row r="133" spans="1:8" s="55" customFormat="1" ht="12.75" outlineLevel="1">
      <c r="A133" s="40" t="s">
        <v>18</v>
      </c>
      <c r="B133" s="36" t="s">
        <v>4</v>
      </c>
      <c r="C133" s="32"/>
      <c r="D133" s="54">
        <f>D128-D132</f>
        <v>0</v>
      </c>
      <c r="E133" s="54">
        <f>E128-E132</f>
        <v>0</v>
      </c>
      <c r="F133" s="54">
        <f>F128-F132</f>
        <v>0</v>
      </c>
      <c r="G133" s="54">
        <f>G128-G132</f>
        <v>0</v>
      </c>
      <c r="H133" s="54">
        <f>H128-H132</f>
        <v>0</v>
      </c>
    </row>
    <row r="134" spans="1:11" ht="12.75" outlineLevel="1">
      <c r="A134" s="156" t="s">
        <v>134</v>
      </c>
      <c r="B134" s="31"/>
      <c r="I134" s="32"/>
      <c r="K134" s="164"/>
    </row>
    <row r="135" spans="1:8" s="55" customFormat="1" ht="12.75" outlineLevel="1">
      <c r="A135" s="40" t="s">
        <v>129</v>
      </c>
      <c r="B135" s="36" t="s">
        <v>4</v>
      </c>
      <c r="C135" s="51">
        <v>0</v>
      </c>
      <c r="D135" s="54">
        <f>C135+D136</f>
        <v>0</v>
      </c>
      <c r="E135" s="54">
        <f>D135+E136</f>
        <v>0</v>
      </c>
      <c r="F135" s="54">
        <f>E135+F136</f>
        <v>0</v>
      </c>
      <c r="G135" s="54">
        <f>F135+G136</f>
        <v>0</v>
      </c>
      <c r="H135" s="54">
        <f>G135+H136</f>
        <v>0</v>
      </c>
    </row>
    <row r="136" spans="1:12" s="55" customFormat="1" ht="12.75" outlineLevel="1">
      <c r="A136" s="40" t="s">
        <v>14</v>
      </c>
      <c r="B136" s="36" t="s">
        <v>4</v>
      </c>
      <c r="C136" s="32"/>
      <c r="D136" s="54">
        <f>C135*D$6</f>
        <v>0</v>
      </c>
      <c r="E136" s="54">
        <f>D135*E$6</f>
        <v>0</v>
      </c>
      <c r="F136" s="54">
        <f>E135*F$6</f>
        <v>0</v>
      </c>
      <c r="G136" s="54">
        <f>F135*G$6</f>
        <v>0</v>
      </c>
      <c r="H136" s="54">
        <f>G135*H$6</f>
        <v>0</v>
      </c>
      <c r="L136" s="165"/>
    </row>
    <row r="137" spans="1:8" s="45" customFormat="1" ht="12.75" outlineLevel="1">
      <c r="A137" s="40" t="s">
        <v>15</v>
      </c>
      <c r="B137" s="36" t="s">
        <v>4</v>
      </c>
      <c r="C137" s="32"/>
      <c r="D137" s="54">
        <f>IF(D$1&gt;Bases!$B$14,0,D135/Bases!$B$14)</f>
        <v>0</v>
      </c>
      <c r="E137" s="54">
        <f>IF(E$1&gt;Bases!$B$14,0,E135/Bases!$B$14)</f>
        <v>0</v>
      </c>
      <c r="F137" s="54">
        <f>IF(F$1&gt;Bases!$B$14,0,F135/Bases!$B$14)</f>
        <v>0</v>
      </c>
      <c r="G137" s="54">
        <f>IF(G$1&gt;Bases!$B$14,0,G135/Bases!$B$14)</f>
        <v>0</v>
      </c>
      <c r="H137" s="54">
        <f>IF(H$1&gt;Bases!$B$14,0,H135/Bases!$B$14)</f>
        <v>0</v>
      </c>
    </row>
    <row r="138" spans="1:8" s="55" customFormat="1" ht="12.75" outlineLevel="1">
      <c r="A138" s="40" t="s">
        <v>16</v>
      </c>
      <c r="B138" s="36" t="s">
        <v>4</v>
      </c>
      <c r="C138" s="32"/>
      <c r="D138" s="54">
        <f>C139*D$6</f>
        <v>0</v>
      </c>
      <c r="E138" s="54">
        <f>D139*E$6</f>
        <v>0</v>
      </c>
      <c r="F138" s="54">
        <f>E139*F$6</f>
        <v>0</v>
      </c>
      <c r="G138" s="54">
        <f>F139*G$6</f>
        <v>0</v>
      </c>
      <c r="H138" s="54">
        <f>G139*H$6</f>
        <v>0</v>
      </c>
    </row>
    <row r="139" spans="1:8" s="55" customFormat="1" ht="12.75" outlineLevel="1">
      <c r="A139" s="40" t="s">
        <v>19</v>
      </c>
      <c r="B139" s="36" t="s">
        <v>4</v>
      </c>
      <c r="C139" s="32"/>
      <c r="D139" s="54">
        <f>C139+D137+D138</f>
        <v>0</v>
      </c>
      <c r="E139" s="54">
        <f>D139+E137+E138</f>
        <v>0</v>
      </c>
      <c r="F139" s="54">
        <f>E139+F137+F138</f>
        <v>0</v>
      </c>
      <c r="G139" s="54">
        <f>F139+G137+G138</f>
        <v>0</v>
      </c>
      <c r="H139" s="54">
        <f>G139+H137+H138</f>
        <v>0</v>
      </c>
    </row>
    <row r="140" spans="1:8" s="55" customFormat="1" ht="12.75" outlineLevel="1">
      <c r="A140" s="40" t="s">
        <v>18</v>
      </c>
      <c r="B140" s="36" t="s">
        <v>4</v>
      </c>
      <c r="C140" s="32"/>
      <c r="D140" s="54">
        <f>D135-D139</f>
        <v>0</v>
      </c>
      <c r="E140" s="54">
        <f>E135-E139</f>
        <v>0</v>
      </c>
      <c r="F140" s="54">
        <f>F135-F139</f>
        <v>0</v>
      </c>
      <c r="G140" s="54">
        <f>G135-G139</f>
        <v>0</v>
      </c>
      <c r="H140" s="54">
        <f>H135-H139</f>
        <v>0</v>
      </c>
    </row>
    <row r="141" spans="1:9" ht="12.75" outlineLevel="1">
      <c r="A141" s="156" t="s">
        <v>141</v>
      </c>
      <c r="B141" s="31"/>
      <c r="I141" s="32"/>
    </row>
    <row r="142" spans="1:8" s="55" customFormat="1" ht="12.75" outlineLevel="1">
      <c r="A142" s="40" t="s">
        <v>129</v>
      </c>
      <c r="B142" s="36" t="s">
        <v>4</v>
      </c>
      <c r="C142" s="51">
        <v>0</v>
      </c>
      <c r="D142" s="54">
        <f>C142+D143</f>
        <v>0</v>
      </c>
      <c r="E142" s="54">
        <f>D142+E143</f>
        <v>0</v>
      </c>
      <c r="F142" s="54">
        <f>E142+F143</f>
        <v>0</v>
      </c>
      <c r="G142" s="54">
        <f>F142+G143</f>
        <v>0</v>
      </c>
      <c r="H142" s="54">
        <f>G142+H143</f>
        <v>0</v>
      </c>
    </row>
    <row r="143" spans="1:8" s="55" customFormat="1" ht="12.75" outlineLevel="1">
      <c r="A143" s="40" t="s">
        <v>14</v>
      </c>
      <c r="B143" s="36" t="s">
        <v>4</v>
      </c>
      <c r="C143" s="32"/>
      <c r="D143" s="54">
        <f>C142*D$6</f>
        <v>0</v>
      </c>
      <c r="E143" s="54">
        <f>D142*E$6</f>
        <v>0</v>
      </c>
      <c r="F143" s="54">
        <f>E142*F$6</f>
        <v>0</v>
      </c>
      <c r="G143" s="54">
        <f>F142*G$6</f>
        <v>0</v>
      </c>
      <c r="H143" s="54">
        <f>G142*H$6</f>
        <v>0</v>
      </c>
    </row>
    <row r="144" spans="1:8" s="45" customFormat="1" ht="12.75" outlineLevel="1">
      <c r="A144" s="40" t="s">
        <v>15</v>
      </c>
      <c r="B144" s="36" t="s">
        <v>4</v>
      </c>
      <c r="C144" s="32"/>
      <c r="D144" s="54">
        <f>IF(D$1&gt;Bases!$B$15,0,D142/Bases!$B$15)</f>
        <v>0</v>
      </c>
      <c r="E144" s="54">
        <f>IF(E$1&gt;Bases!$B$15,0,E142/Bases!$B$15)</f>
        <v>0</v>
      </c>
      <c r="F144" s="54">
        <f>IF(F$1&gt;Bases!$B$15,0,F142/Bases!$B$15)</f>
        <v>0</v>
      </c>
      <c r="G144" s="54">
        <f>IF(G$1&gt;Bases!$B$15,0,G142/Bases!$B$15)</f>
        <v>0</v>
      </c>
      <c r="H144" s="54">
        <f>IF(H$1&gt;Bases!$B$15,0,H142/Bases!$B$15)</f>
        <v>0</v>
      </c>
    </row>
    <row r="145" spans="1:8" s="55" customFormat="1" ht="12.75" outlineLevel="1">
      <c r="A145" s="40" t="s">
        <v>16</v>
      </c>
      <c r="B145" s="36" t="s">
        <v>4</v>
      </c>
      <c r="C145" s="32"/>
      <c r="D145" s="54">
        <f>C146*D$6</f>
        <v>0</v>
      </c>
      <c r="E145" s="54">
        <f>D146*E$6</f>
        <v>0</v>
      </c>
      <c r="F145" s="54">
        <f>E146*F$6</f>
        <v>0</v>
      </c>
      <c r="G145" s="54">
        <f>F146*G$6</f>
        <v>0</v>
      </c>
      <c r="H145" s="54">
        <f>G146*H$6</f>
        <v>0</v>
      </c>
    </row>
    <row r="146" spans="1:8" s="55" customFormat="1" ht="12.75" outlineLevel="1">
      <c r="A146" s="40" t="s">
        <v>19</v>
      </c>
      <c r="B146" s="36" t="s">
        <v>4</v>
      </c>
      <c r="C146" s="32"/>
      <c r="D146" s="54">
        <f>C146+D144+D145</f>
        <v>0</v>
      </c>
      <c r="E146" s="54">
        <f>D146+E144+E145</f>
        <v>0</v>
      </c>
      <c r="F146" s="54">
        <f>E146+F144+F145</f>
        <v>0</v>
      </c>
      <c r="G146" s="54">
        <f>F146+G144+G145</f>
        <v>0</v>
      </c>
      <c r="H146" s="54">
        <f>G146+H144+H145</f>
        <v>0</v>
      </c>
    </row>
    <row r="147" spans="1:8" s="55" customFormat="1" ht="13.5" outlineLevel="1" thickBot="1">
      <c r="A147" s="40" t="s">
        <v>18</v>
      </c>
      <c r="B147" s="36" t="s">
        <v>4</v>
      </c>
      <c r="C147" s="32"/>
      <c r="D147" s="54">
        <f>D142-D146</f>
        <v>0</v>
      </c>
      <c r="E147" s="54">
        <f>E142-E146</f>
        <v>0</v>
      </c>
      <c r="F147" s="54">
        <f>F142-F146</f>
        <v>0</v>
      </c>
      <c r="G147" s="54">
        <f>G142-G146</f>
        <v>0</v>
      </c>
      <c r="H147" s="54">
        <f>H142-H146</f>
        <v>0</v>
      </c>
    </row>
    <row r="148" spans="1:9" ht="12.75" hidden="1" outlineLevel="1">
      <c r="A148" s="156" t="s">
        <v>153</v>
      </c>
      <c r="B148" s="31"/>
      <c r="I148" s="32"/>
    </row>
    <row r="149" spans="1:8" s="55" customFormat="1" ht="12.75" hidden="1" outlineLevel="1">
      <c r="A149" s="40" t="s">
        <v>129</v>
      </c>
      <c r="B149" s="36" t="s">
        <v>4</v>
      </c>
      <c r="C149" s="51">
        <f>C169</f>
        <v>0</v>
      </c>
      <c r="D149" s="54">
        <f>C149+D150</f>
        <v>0</v>
      </c>
      <c r="E149" s="54">
        <f>D149+E150</f>
        <v>0</v>
      </c>
      <c r="F149" s="54">
        <f>E149+F150</f>
        <v>0</v>
      </c>
      <c r="G149" s="54">
        <f>F149+G150</f>
        <v>0</v>
      </c>
      <c r="H149" s="54">
        <f>G149+H150</f>
        <v>0</v>
      </c>
    </row>
    <row r="150" spans="1:8" s="55" customFormat="1" ht="12.75" hidden="1" outlineLevel="1">
      <c r="A150" s="40" t="s">
        <v>14</v>
      </c>
      <c r="B150" s="36" t="s">
        <v>4</v>
      </c>
      <c r="C150" s="32"/>
      <c r="D150" s="54">
        <f>C149*D$6</f>
        <v>0</v>
      </c>
      <c r="E150" s="54">
        <f>D149*E$6</f>
        <v>0</v>
      </c>
      <c r="F150" s="54">
        <f>E149*F$6</f>
        <v>0</v>
      </c>
      <c r="G150" s="54">
        <f>F149*G$6</f>
        <v>0</v>
      </c>
      <c r="H150" s="54">
        <f>G149*H$6</f>
        <v>0</v>
      </c>
    </row>
    <row r="151" spans="1:8" s="45" customFormat="1" ht="12.75" hidden="1" outlineLevel="1">
      <c r="A151" s="40" t="s">
        <v>198</v>
      </c>
      <c r="B151" s="36" t="s">
        <v>4</v>
      </c>
      <c r="C151" s="32"/>
      <c r="D151" s="54">
        <f>IF(D$1&gt;Bases!$B$16,0,D149/Bases!$B$16)</f>
        <v>0</v>
      </c>
      <c r="E151" s="54">
        <f>IF(E$1&gt;Bases!$B$16,0,E149/Bases!$B$16)</f>
        <v>0</v>
      </c>
      <c r="F151" s="54">
        <f>IF(F$1&gt;Bases!$B$16,0,F149/Bases!$B$16)</f>
        <v>0</v>
      </c>
      <c r="G151" s="54">
        <f>IF(G$1&gt;Bases!$B$16,0,G149/Bases!$B$16)</f>
        <v>0</v>
      </c>
      <c r="H151" s="54">
        <f>IF(H$1&gt;Bases!$B$16,0,H149/Bases!$B$16)</f>
        <v>0</v>
      </c>
    </row>
    <row r="152" spans="1:8" s="55" customFormat="1" ht="12.75" hidden="1" outlineLevel="1">
      <c r="A152" s="40" t="s">
        <v>199</v>
      </c>
      <c r="B152" s="36" t="s">
        <v>4</v>
      </c>
      <c r="C152" s="32"/>
      <c r="D152" s="54">
        <f>C153*D$6</f>
        <v>0</v>
      </c>
      <c r="E152" s="54">
        <f>D153*E$6</f>
        <v>0</v>
      </c>
      <c r="F152" s="54">
        <f>E153*F$6</f>
        <v>0</v>
      </c>
      <c r="G152" s="54">
        <f>F153*G$6</f>
        <v>0</v>
      </c>
      <c r="H152" s="54">
        <f>G153*H$6</f>
        <v>0</v>
      </c>
    </row>
    <row r="153" spans="1:8" s="55" customFormat="1" ht="12.75" hidden="1" outlineLevel="1">
      <c r="A153" s="40" t="s">
        <v>200</v>
      </c>
      <c r="B153" s="36" t="s">
        <v>4</v>
      </c>
      <c r="C153" s="32"/>
      <c r="D153" s="54">
        <f>C153+D151+D152</f>
        <v>0</v>
      </c>
      <c r="E153" s="54">
        <f>D153+E151+E152</f>
        <v>0</v>
      </c>
      <c r="F153" s="54">
        <f>E153+F151+F152</f>
        <v>0</v>
      </c>
      <c r="G153" s="54">
        <f>F153+G151+G152</f>
        <v>0</v>
      </c>
      <c r="H153" s="54">
        <f>G153+H151+H152</f>
        <v>0</v>
      </c>
    </row>
    <row r="154" spans="1:8" s="55" customFormat="1" ht="12.75" hidden="1" outlineLevel="1">
      <c r="A154" s="40" t="s">
        <v>18</v>
      </c>
      <c r="B154" s="36" t="s">
        <v>4</v>
      </c>
      <c r="C154" s="32"/>
      <c r="D154" s="54">
        <f>D149-D153</f>
        <v>0</v>
      </c>
      <c r="E154" s="54">
        <f>E149-E153</f>
        <v>0</v>
      </c>
      <c r="F154" s="54">
        <f>F149-F153</f>
        <v>0</v>
      </c>
      <c r="G154" s="54">
        <f>G149-G153</f>
        <v>0</v>
      </c>
      <c r="H154" s="54">
        <f>H149-H153</f>
        <v>0</v>
      </c>
    </row>
    <row r="155" spans="1:9" ht="12.75" hidden="1" outlineLevel="1">
      <c r="A155" s="156" t="s">
        <v>154</v>
      </c>
      <c r="B155" s="31"/>
      <c r="I155" s="32"/>
    </row>
    <row r="156" spans="1:8" s="55" customFormat="1" ht="12.75" hidden="1" outlineLevel="1">
      <c r="A156" s="40" t="s">
        <v>129</v>
      </c>
      <c r="B156" s="36" t="s">
        <v>4</v>
      </c>
      <c r="C156" s="51">
        <f>C170</f>
        <v>0</v>
      </c>
      <c r="D156" s="54">
        <f>C156+D157</f>
        <v>0</v>
      </c>
      <c r="E156" s="54">
        <f>D156+E157</f>
        <v>0</v>
      </c>
      <c r="F156" s="54">
        <f>E156+F157</f>
        <v>0</v>
      </c>
      <c r="G156" s="54">
        <f>F156+G157</f>
        <v>0</v>
      </c>
      <c r="H156" s="54">
        <f>G156+H157</f>
        <v>0</v>
      </c>
    </row>
    <row r="157" spans="1:8" s="55" customFormat="1" ht="12.75" hidden="1" outlineLevel="1">
      <c r="A157" s="40" t="s">
        <v>14</v>
      </c>
      <c r="B157" s="36" t="s">
        <v>4</v>
      </c>
      <c r="C157" s="32"/>
      <c r="D157" s="54">
        <f>C156*D$6</f>
        <v>0</v>
      </c>
      <c r="E157" s="54">
        <f>D156*E$6</f>
        <v>0</v>
      </c>
      <c r="F157" s="54">
        <f>E156*F$6</f>
        <v>0</v>
      </c>
      <c r="G157" s="54">
        <f>F156*G$6</f>
        <v>0</v>
      </c>
      <c r="H157" s="54">
        <f>G156*H$6</f>
        <v>0</v>
      </c>
    </row>
    <row r="158" spans="1:8" s="45" customFormat="1" ht="12.75" hidden="1" outlineLevel="1">
      <c r="A158" s="40" t="s">
        <v>198</v>
      </c>
      <c r="B158" s="36" t="s">
        <v>4</v>
      </c>
      <c r="C158" s="32"/>
      <c r="D158" s="54">
        <f>IF(D$1&gt;Bases!$B$17,0,D156/Bases!$B$17)</f>
        <v>0</v>
      </c>
      <c r="E158" s="54">
        <f>IF(E$1&gt;Bases!$B$17,0,E156/Bases!$B$17)</f>
        <v>0</v>
      </c>
      <c r="F158" s="54">
        <f>IF(F$1&gt;Bases!$B$17,0,F156/Bases!$B$17)</f>
        <v>0</v>
      </c>
      <c r="G158" s="54">
        <f>IF(G$1&gt;Bases!$B$17,0,G156/Bases!$B$17)</f>
        <v>0</v>
      </c>
      <c r="H158" s="54">
        <f>IF(H$1&gt;Bases!$B$17,0,H156/Bases!$B$17)</f>
        <v>0</v>
      </c>
    </row>
    <row r="159" spans="1:8" s="55" customFormat="1" ht="12.75" hidden="1" outlineLevel="1">
      <c r="A159" s="40" t="s">
        <v>199</v>
      </c>
      <c r="B159" s="36" t="s">
        <v>4</v>
      </c>
      <c r="C159" s="32"/>
      <c r="D159" s="54">
        <f>C160*D$6</f>
        <v>0</v>
      </c>
      <c r="E159" s="54">
        <f>D160*E$6</f>
        <v>0</v>
      </c>
      <c r="F159" s="54">
        <f>E160*F$6</f>
        <v>0</v>
      </c>
      <c r="G159" s="54">
        <f>F160*G$6</f>
        <v>0</v>
      </c>
      <c r="H159" s="54">
        <f>G160*H$6</f>
        <v>0</v>
      </c>
    </row>
    <row r="160" spans="1:8" s="55" customFormat="1" ht="12.75" hidden="1" outlineLevel="1">
      <c r="A160" s="40" t="s">
        <v>200</v>
      </c>
      <c r="B160" s="36" t="s">
        <v>4</v>
      </c>
      <c r="C160" s="32"/>
      <c r="D160" s="54">
        <f>C160+D158+D159</f>
        <v>0</v>
      </c>
      <c r="E160" s="54">
        <f>D160+E158+E159</f>
        <v>0</v>
      </c>
      <c r="F160" s="54">
        <f>E160+F158+F159</f>
        <v>0</v>
      </c>
      <c r="G160" s="54">
        <f>F160+G158+G159</f>
        <v>0</v>
      </c>
      <c r="H160" s="54">
        <f>G160+H158+H159</f>
        <v>0</v>
      </c>
    </row>
    <row r="161" spans="1:8" s="55" customFormat="1" ht="13.5" hidden="1" outlineLevel="1" thickBot="1">
      <c r="A161" s="40" t="s">
        <v>18</v>
      </c>
      <c r="B161" s="36" t="s">
        <v>4</v>
      </c>
      <c r="C161" s="32"/>
      <c r="D161" s="54">
        <f>D156-D160</f>
        <v>0</v>
      </c>
      <c r="E161" s="54">
        <f>E156-E160</f>
        <v>0</v>
      </c>
      <c r="F161" s="54">
        <f>F156-F160</f>
        <v>0</v>
      </c>
      <c r="G161" s="54">
        <f>G156-G160</f>
        <v>0</v>
      </c>
      <c r="H161" s="54">
        <f>H156-H160</f>
        <v>0</v>
      </c>
    </row>
    <row r="162" spans="1:8" ht="14.25" collapsed="1" thickBot="1" thickTop="1">
      <c r="A162" s="154" t="s">
        <v>285</v>
      </c>
      <c r="B162" s="31"/>
      <c r="C162" s="31"/>
      <c r="D162" s="31"/>
      <c r="E162" s="31"/>
      <c r="F162" s="31"/>
      <c r="G162" s="31"/>
      <c r="H162" s="31"/>
    </row>
    <row r="163" spans="1:8" s="45" customFormat="1" ht="13.5" thickTop="1">
      <c r="A163" s="63" t="s">
        <v>128</v>
      </c>
      <c r="B163" s="36" t="s">
        <v>4</v>
      </c>
      <c r="C163" s="27"/>
      <c r="D163" s="27">
        <v>0</v>
      </c>
      <c r="E163" s="27">
        <v>0</v>
      </c>
      <c r="F163" s="27">
        <v>0</v>
      </c>
      <c r="G163" s="27">
        <v>0</v>
      </c>
      <c r="H163" s="27">
        <v>0</v>
      </c>
    </row>
    <row r="164" spans="1:8" s="45" customFormat="1" ht="12.75">
      <c r="A164" s="63" t="s">
        <v>130</v>
      </c>
      <c r="B164" s="36" t="s">
        <v>4</v>
      </c>
      <c r="C164" s="27">
        <v>10000000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</row>
    <row r="165" spans="1:8" s="45" customFormat="1" ht="12.75">
      <c r="A165" s="63" t="s">
        <v>53</v>
      </c>
      <c r="B165" s="36" t="s">
        <v>4</v>
      </c>
      <c r="C165" s="27">
        <f>'Maquinaria y Equipos'!G17</f>
        <v>54201278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</row>
    <row r="166" spans="1:8" s="45" customFormat="1" ht="12.75">
      <c r="A166" s="63" t="s">
        <v>137</v>
      </c>
      <c r="B166" s="36" t="s">
        <v>4</v>
      </c>
      <c r="C166" s="27">
        <v>1000000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</row>
    <row r="167" spans="1:8" s="45" customFormat="1" ht="12.75">
      <c r="A167" s="63" t="s">
        <v>134</v>
      </c>
      <c r="B167" s="36" t="s">
        <v>4</v>
      </c>
      <c r="C167" s="27"/>
      <c r="D167" s="27">
        <v>0</v>
      </c>
      <c r="E167" s="27">
        <v>0</v>
      </c>
      <c r="F167" s="27">
        <v>0</v>
      </c>
      <c r="G167" s="27">
        <v>0</v>
      </c>
      <c r="H167" s="27">
        <v>0</v>
      </c>
    </row>
    <row r="168" spans="1:8" s="45" customFormat="1" ht="12.75">
      <c r="A168" s="63" t="s">
        <v>180</v>
      </c>
      <c r="B168" s="36" t="s">
        <v>4</v>
      </c>
      <c r="C168" s="27">
        <f>'Equipos de Oficina'!E9</f>
        <v>5920000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</row>
    <row r="169" spans="1:8" s="45" customFormat="1" ht="12.75" hidden="1">
      <c r="A169" s="63" t="s">
        <v>153</v>
      </c>
      <c r="B169" s="36" t="s">
        <v>4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</row>
    <row r="170" spans="1:8" s="45" customFormat="1" ht="12.75" hidden="1">
      <c r="A170" s="63" t="s">
        <v>154</v>
      </c>
      <c r="B170" s="36"/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</row>
    <row r="171" spans="1:8" s="45" customFormat="1" ht="12.75">
      <c r="A171" s="59" t="s">
        <v>181</v>
      </c>
      <c r="B171" s="36" t="s">
        <v>4</v>
      </c>
      <c r="C171" s="32"/>
      <c r="D171" s="54">
        <f>SUM(D163:D170)</f>
        <v>0</v>
      </c>
      <c r="E171" s="54">
        <f>SUM(E163:E170)</f>
        <v>0</v>
      </c>
      <c r="F171" s="54">
        <f>SUM(F163:F170)</f>
        <v>0</v>
      </c>
      <c r="G171" s="54">
        <f>SUM(G163:G170)</f>
        <v>0</v>
      </c>
      <c r="H171" s="54">
        <f>SUM(H163:H170)</f>
        <v>0</v>
      </c>
    </row>
    <row r="172" spans="1:9" ht="12.75">
      <c r="A172" s="156" t="s">
        <v>219</v>
      </c>
      <c r="B172" s="31"/>
      <c r="I172" s="32"/>
    </row>
    <row r="173" spans="1:8" s="55" customFormat="1" ht="12.75">
      <c r="A173" s="40" t="s">
        <v>129</v>
      </c>
      <c r="B173" s="36" t="s">
        <v>4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</row>
    <row r="174" spans="1:8" s="55" customFormat="1" ht="13.5" thickBot="1">
      <c r="A174" s="59" t="s">
        <v>220</v>
      </c>
      <c r="B174" s="64"/>
      <c r="C174" s="32"/>
      <c r="D174" s="54">
        <f>D173-C173</f>
        <v>0</v>
      </c>
      <c r="E174" s="54">
        <f>E173-D173</f>
        <v>0</v>
      </c>
      <c r="F174" s="54">
        <f>F173-E173</f>
        <v>0</v>
      </c>
      <c r="G174" s="54">
        <f>G173-F173</f>
        <v>0</v>
      </c>
      <c r="H174" s="54">
        <f>H173-G173</f>
        <v>0</v>
      </c>
    </row>
    <row r="175" spans="1:8" ht="14.25" outlineLevel="1" thickBot="1" thickTop="1">
      <c r="A175" s="154" t="s">
        <v>25</v>
      </c>
      <c r="B175" s="31"/>
      <c r="C175" s="31"/>
      <c r="D175" s="31"/>
      <c r="E175" s="31"/>
      <c r="F175" s="31"/>
      <c r="G175" s="31"/>
      <c r="H175" s="31"/>
    </row>
    <row r="176" spans="1:8" ht="13.5" outlineLevel="1" thickTop="1">
      <c r="A176" s="156" t="s">
        <v>213</v>
      </c>
      <c r="B176" s="31"/>
      <c r="D176" s="33"/>
      <c r="E176" s="33"/>
      <c r="F176" s="33"/>
      <c r="G176" s="33"/>
      <c r="H176" s="34"/>
    </row>
    <row r="177" spans="1:8" s="55" customFormat="1" ht="12.75" outlineLevel="1">
      <c r="A177" s="40" t="s">
        <v>26</v>
      </c>
      <c r="B177" s="36" t="s">
        <v>4</v>
      </c>
      <c r="C177" s="54">
        <f>Balance!B55</f>
        <v>0</v>
      </c>
      <c r="D177" s="54">
        <f>Balance!C55</f>
        <v>11540883.284189431</v>
      </c>
      <c r="E177" s="54">
        <f>Balance!D55</f>
        <v>10400440.225779958</v>
      </c>
      <c r="F177" s="54">
        <f>Balance!E55</f>
        <v>40050064.66590027</v>
      </c>
      <c r="G177" s="54">
        <f>Balance!F55</f>
        <v>102884486.23491764</v>
      </c>
      <c r="H177" s="54">
        <f>Balance!G55</f>
        <v>211080115.41714728</v>
      </c>
    </row>
    <row r="178" spans="1:8" s="55" customFormat="1" ht="12.75" outlineLevel="1">
      <c r="A178" s="40" t="s">
        <v>299</v>
      </c>
      <c r="B178" s="36" t="s">
        <v>1</v>
      </c>
      <c r="C178" s="32"/>
      <c r="D178" s="65">
        <v>0.06</v>
      </c>
      <c r="E178" s="65">
        <v>0.06</v>
      </c>
      <c r="F178" s="65">
        <v>0.06</v>
      </c>
      <c r="G178" s="65">
        <v>0.06</v>
      </c>
      <c r="H178" s="65">
        <v>0.06</v>
      </c>
    </row>
    <row r="179" spans="1:8" s="55" customFormat="1" ht="12.75" outlineLevel="1">
      <c r="A179" s="40" t="s">
        <v>27</v>
      </c>
      <c r="B179" s="36" t="s">
        <v>4</v>
      </c>
      <c r="C179" s="32"/>
      <c r="D179" s="54">
        <f>C177*D178</f>
        <v>0</v>
      </c>
      <c r="E179" s="54">
        <f>D177*E178</f>
        <v>692452.9970513658</v>
      </c>
      <c r="F179" s="54">
        <f>E177*F178</f>
        <v>624026.4135467975</v>
      </c>
      <c r="G179" s="54">
        <f>F177*G178</f>
        <v>2403003.879954016</v>
      </c>
      <c r="H179" s="54">
        <f>G177*H178</f>
        <v>6173069.174095058</v>
      </c>
    </row>
    <row r="180" spans="1:8" s="55" customFormat="1" ht="12.75" outlineLevel="1">
      <c r="A180" s="40" t="s">
        <v>28</v>
      </c>
      <c r="B180" s="36" t="s">
        <v>4</v>
      </c>
      <c r="C180" s="32"/>
      <c r="D180" s="54">
        <f>'P&amp;G'!B24</f>
        <v>11897817.81875199</v>
      </c>
      <c r="E180" s="54">
        <f>'P&amp;G'!C24</f>
        <v>-1119669.468497932</v>
      </c>
      <c r="F180" s="54">
        <f>'P&amp;G'!D24</f>
        <v>30090710.421394575</v>
      </c>
      <c r="G180" s="54">
        <f>'P&amp;G'!E24</f>
        <v>64348870.0618414</v>
      </c>
      <c r="H180" s="54">
        <f>'P&amp;G'!F24</f>
        <v>109909373.20499828</v>
      </c>
    </row>
    <row r="181" spans="1:8" s="55" customFormat="1" ht="12.75" outlineLevel="1">
      <c r="A181" s="40" t="s">
        <v>27</v>
      </c>
      <c r="B181" s="36" t="s">
        <v>1</v>
      </c>
      <c r="C181" s="32"/>
      <c r="D181" s="65">
        <v>0.03</v>
      </c>
      <c r="E181" s="65">
        <v>0.03</v>
      </c>
      <c r="F181" s="65">
        <v>0.03</v>
      </c>
      <c r="G181" s="65">
        <v>0.03</v>
      </c>
      <c r="H181" s="65">
        <v>0.03</v>
      </c>
    </row>
    <row r="182" spans="1:8" s="55" customFormat="1" ht="12.75" outlineLevel="1">
      <c r="A182" s="40" t="s">
        <v>214</v>
      </c>
      <c r="B182" s="36" t="s">
        <v>4</v>
      </c>
      <c r="C182" s="32"/>
      <c r="D182" s="54">
        <f>MAX(D179:D180)*D181</f>
        <v>356934.5345625597</v>
      </c>
      <c r="E182" s="54">
        <f>MAX(E179:E180)*E181</f>
        <v>20773.589911540974</v>
      </c>
      <c r="F182" s="54">
        <f>MAX(F179:F180)*F181</f>
        <v>902721.3126418373</v>
      </c>
      <c r="G182" s="54">
        <f>MAX(G179:G180)*G181</f>
        <v>1930466.101855242</v>
      </c>
      <c r="H182" s="54">
        <f>MAX(H179:H180)*H181</f>
        <v>3297281.1961499485</v>
      </c>
    </row>
    <row r="183" spans="1:8" s="55" customFormat="1" ht="12.75" outlineLevel="1">
      <c r="A183" s="40" t="s">
        <v>215</v>
      </c>
      <c r="B183" s="36" t="s">
        <v>4</v>
      </c>
      <c r="C183" s="32"/>
      <c r="D183" s="54">
        <f>D182</f>
        <v>356934.5345625597</v>
      </c>
      <c r="E183" s="54">
        <f>E182</f>
        <v>20773.589911540974</v>
      </c>
      <c r="F183" s="54">
        <f>F182</f>
        <v>902721.3126418373</v>
      </c>
      <c r="G183" s="54">
        <f>G182</f>
        <v>1930466.101855242</v>
      </c>
      <c r="H183" s="54">
        <f>H182</f>
        <v>3297281.1961499485</v>
      </c>
    </row>
    <row r="184" spans="1:8" s="55" customFormat="1" ht="13.5" outlineLevel="1" thickBot="1">
      <c r="A184" s="59" t="s">
        <v>216</v>
      </c>
      <c r="B184" s="36" t="s">
        <v>4</v>
      </c>
      <c r="C184" s="32"/>
      <c r="D184" s="54">
        <f>C183</f>
        <v>0</v>
      </c>
      <c r="E184" s="54">
        <f>D183</f>
        <v>356934.5345625597</v>
      </c>
      <c r="F184" s="54">
        <f>E183</f>
        <v>20773.589911540974</v>
      </c>
      <c r="G184" s="54">
        <f>F183</f>
        <v>902721.3126418373</v>
      </c>
      <c r="H184" s="54">
        <f>G183</f>
        <v>1930466.101855242</v>
      </c>
    </row>
    <row r="185" spans="1:8" ht="14.25" collapsed="1" thickBot="1" thickTop="1">
      <c r="A185" s="154" t="s">
        <v>222</v>
      </c>
      <c r="B185" s="31"/>
      <c r="C185" s="31"/>
      <c r="D185" s="31"/>
      <c r="E185" s="31"/>
      <c r="F185" s="31"/>
      <c r="G185" s="31"/>
      <c r="H185" s="31"/>
    </row>
    <row r="186" spans="1:8" ht="13.5" thickTop="1">
      <c r="A186" s="40" t="s">
        <v>182</v>
      </c>
      <c r="B186" s="36" t="s">
        <v>4</v>
      </c>
      <c r="C186" s="27">
        <v>0</v>
      </c>
      <c r="D186" s="66">
        <f>C186+D187</f>
        <v>0</v>
      </c>
      <c r="E186" s="66">
        <f>D186+E187</f>
        <v>0</v>
      </c>
      <c r="F186" s="66">
        <f>E186+F187</f>
        <v>0</v>
      </c>
      <c r="G186" s="66">
        <f>F186+G187</f>
        <v>0</v>
      </c>
      <c r="H186" s="66">
        <f>G186+H187</f>
        <v>0</v>
      </c>
    </row>
    <row r="187" spans="1:8" ht="12.75">
      <c r="A187" s="40" t="s">
        <v>223</v>
      </c>
      <c r="B187" s="36" t="s">
        <v>4</v>
      </c>
      <c r="D187" s="67">
        <v>0</v>
      </c>
      <c r="E187" s="67">
        <v>0</v>
      </c>
      <c r="F187" s="67">
        <v>0</v>
      </c>
      <c r="G187" s="67">
        <v>0</v>
      </c>
      <c r="H187" s="67">
        <v>0</v>
      </c>
    </row>
    <row r="188" spans="1:8" ht="12.75">
      <c r="A188" s="40" t="s">
        <v>183</v>
      </c>
      <c r="B188" s="36" t="s">
        <v>4</v>
      </c>
      <c r="C188" s="27">
        <v>50000000</v>
      </c>
      <c r="D188" s="66">
        <f>C188</f>
        <v>50000000</v>
      </c>
      <c r="E188" s="66">
        <f>D188</f>
        <v>50000000</v>
      </c>
      <c r="F188" s="66">
        <f>E188</f>
        <v>50000000</v>
      </c>
      <c r="G188" s="66">
        <f>F188</f>
        <v>50000000</v>
      </c>
      <c r="H188" s="66">
        <f>G188</f>
        <v>50000000</v>
      </c>
    </row>
    <row r="189" spans="1:8" ht="12.75">
      <c r="A189" s="40" t="s">
        <v>57</v>
      </c>
      <c r="B189" s="36" t="s">
        <v>4</v>
      </c>
      <c r="C189" s="68">
        <v>0</v>
      </c>
      <c r="D189" s="68">
        <v>0</v>
      </c>
      <c r="E189" s="68">
        <v>0</v>
      </c>
      <c r="F189" s="68">
        <v>0</v>
      </c>
      <c r="G189" s="68">
        <v>0</v>
      </c>
      <c r="H189" s="68">
        <v>0</v>
      </c>
    </row>
    <row r="190" spans="1:8" ht="12.75" outlineLevel="1">
      <c r="A190" s="156" t="s">
        <v>26</v>
      </c>
      <c r="B190" s="31"/>
      <c r="D190" s="33"/>
      <c r="E190" s="33"/>
      <c r="F190" s="33"/>
      <c r="G190" s="33"/>
      <c r="H190" s="34"/>
    </row>
    <row r="191" spans="1:8" ht="12.75" outlineLevel="1">
      <c r="A191" s="40" t="s">
        <v>29</v>
      </c>
      <c r="B191" s="36" t="s">
        <v>4</v>
      </c>
      <c r="C191" s="56">
        <f>Balance!B50</f>
        <v>0</v>
      </c>
      <c r="D191" s="54">
        <f>D186</f>
        <v>0</v>
      </c>
      <c r="E191" s="54">
        <f>E186</f>
        <v>0</v>
      </c>
      <c r="F191" s="54">
        <f>F186</f>
        <v>0</v>
      </c>
      <c r="G191" s="54">
        <f>G186</f>
        <v>0</v>
      </c>
      <c r="H191" s="54">
        <f>H186</f>
        <v>0</v>
      </c>
    </row>
    <row r="192" spans="1:8" ht="12.75" outlineLevel="1">
      <c r="A192" s="40" t="s">
        <v>31</v>
      </c>
      <c r="B192" s="36" t="s">
        <v>4</v>
      </c>
      <c r="D192" s="54">
        <f>IF(OR(C195&lt;0,C193&gt;=D191*50%),0,IF(C195*10%+C193&gt;D191*50%,D191*50%-C193,C195*10%))</f>
        <v>0</v>
      </c>
      <c r="E192" s="54">
        <f>IF(OR(D195&lt;0,D193&gt;=E191*50%),0,IF(D195*10%+D193&gt;E191*50%,E191*50%-D193,D195*10%))</f>
        <v>0</v>
      </c>
      <c r="F192" s="54">
        <f>IF(OR(E195&lt;0,E193&gt;=F191*50%),0,IF(E195*10%+E193&gt;F191*50%,F191*50%-E193,E195*10%))</f>
        <v>0</v>
      </c>
      <c r="G192" s="54">
        <f>IF(OR(F195&lt;0,F193&gt;=G191*50%),0,IF(F195*10%+F193&gt;G191*50%,G191*50%-F193,F195*10%))</f>
        <v>0</v>
      </c>
      <c r="H192" s="54">
        <f>IF(OR(G195&lt;0,G193&gt;=H191*50%),0,IF(G195*10%+G193&gt;H191*50%,H191*50%-G193,G195*10%))</f>
        <v>0</v>
      </c>
    </row>
    <row r="193" spans="1:8" ht="12.75" outlineLevel="1">
      <c r="A193" s="40" t="s">
        <v>32</v>
      </c>
      <c r="B193" s="36" t="s">
        <v>4</v>
      </c>
      <c r="D193" s="54">
        <f>C193+D192</f>
        <v>0</v>
      </c>
      <c r="E193" s="54">
        <f>D193+E192</f>
        <v>0</v>
      </c>
      <c r="F193" s="54">
        <f>E193+F192</f>
        <v>0</v>
      </c>
      <c r="G193" s="54">
        <f>F193+G192</f>
        <v>0</v>
      </c>
      <c r="H193" s="54">
        <f>G193+H192</f>
        <v>0</v>
      </c>
    </row>
    <row r="194" spans="1:8" ht="12.75" outlineLevel="1">
      <c r="A194" s="40" t="s">
        <v>33</v>
      </c>
      <c r="B194" s="36" t="s">
        <v>4</v>
      </c>
      <c r="D194" s="54">
        <f>C194+C195-D192-D203</f>
        <v>0</v>
      </c>
      <c r="E194" s="54">
        <f>D194+D195-E192-E203</f>
        <v>11540883.284189431</v>
      </c>
      <c r="F194" s="54">
        <f>E194+E195-F192-F203</f>
        <v>10400440.225779958</v>
      </c>
      <c r="G194" s="54">
        <f>F194+F195-G192-G203</f>
        <v>39588429.33453269</v>
      </c>
      <c r="H194" s="54">
        <f>G194+G195-H192-H203</f>
        <v>102006833.29451886</v>
      </c>
    </row>
    <row r="195" spans="1:8" s="45" customFormat="1" ht="12.75" outlineLevel="1">
      <c r="A195" s="40" t="s">
        <v>34</v>
      </c>
      <c r="B195" s="36" t="s">
        <v>4</v>
      </c>
      <c r="C195" s="32"/>
      <c r="D195" s="54">
        <f>'P&amp;G'!B26</f>
        <v>11540883.284189431</v>
      </c>
      <c r="E195" s="54">
        <f>'P&amp;G'!C26</f>
        <v>-1140443.058409473</v>
      </c>
      <c r="F195" s="54">
        <f>'P&amp;G'!D26</f>
        <v>29187989.10875274</v>
      </c>
      <c r="G195" s="54">
        <f>'P&amp;G'!E26</f>
        <v>62418403.95998616</v>
      </c>
      <c r="H195" s="54">
        <f>'P&amp;G'!F26</f>
        <v>106612092.00884834</v>
      </c>
    </row>
    <row r="196" spans="1:8" s="45" customFormat="1" ht="12.75" outlineLevel="1">
      <c r="A196" s="40" t="s">
        <v>35</v>
      </c>
      <c r="B196" s="36" t="s">
        <v>4</v>
      </c>
      <c r="C196" s="56">
        <f aca="true" t="shared" si="2" ref="C196:H196">C191+C193+C194</f>
        <v>0</v>
      </c>
      <c r="D196" s="56">
        <f t="shared" si="2"/>
        <v>0</v>
      </c>
      <c r="E196" s="56">
        <f t="shared" si="2"/>
        <v>11540883.284189431</v>
      </c>
      <c r="F196" s="56">
        <f t="shared" si="2"/>
        <v>10400440.225779958</v>
      </c>
      <c r="G196" s="56">
        <f t="shared" si="2"/>
        <v>39588429.33453269</v>
      </c>
      <c r="H196" s="56">
        <f t="shared" si="2"/>
        <v>102006833.29451886</v>
      </c>
    </row>
    <row r="197" spans="1:8" ht="12.75" outlineLevel="1">
      <c r="A197" s="40" t="s">
        <v>36</v>
      </c>
      <c r="B197" s="36" t="s">
        <v>4</v>
      </c>
      <c r="D197" s="54">
        <f>IF(C196&lt;0,0,C196*D4)</f>
        <v>0</v>
      </c>
      <c r="E197" s="54">
        <f>IF(D196&lt;0,0,D196*E4)</f>
        <v>0</v>
      </c>
      <c r="F197" s="54">
        <f>IF(E196&lt;0,0,E196*F4)</f>
        <v>461635.33136757725</v>
      </c>
      <c r="G197" s="54">
        <f>IF(F196&lt;0,0,F196*G4)</f>
        <v>416017.6090311983</v>
      </c>
      <c r="H197" s="54">
        <f>IF(G196&lt;0,0,G196*H4)</f>
        <v>1583537.1733813079</v>
      </c>
    </row>
    <row r="198" spans="1:8" ht="12.75" outlineLevel="1">
      <c r="A198" s="40" t="s">
        <v>37</v>
      </c>
      <c r="B198" s="36" t="s">
        <v>4</v>
      </c>
      <c r="D198" s="54">
        <f>C198+D197</f>
        <v>0</v>
      </c>
      <c r="E198" s="54">
        <f>D198+E197</f>
        <v>0</v>
      </c>
      <c r="F198" s="54">
        <f>E198+F197</f>
        <v>461635.33136757725</v>
      </c>
      <c r="G198" s="54">
        <f>F198+G197</f>
        <v>877652.9403987755</v>
      </c>
      <c r="H198" s="54">
        <f>G198+H197</f>
        <v>2461190.113780083</v>
      </c>
    </row>
    <row r="199" spans="1:8" s="45" customFormat="1" ht="12.75" outlineLevel="1">
      <c r="A199" s="40" t="s">
        <v>38</v>
      </c>
      <c r="B199" s="36" t="s">
        <v>4</v>
      </c>
      <c r="C199" s="69"/>
      <c r="D199" s="33"/>
      <c r="E199" s="33"/>
      <c r="F199" s="33"/>
      <c r="G199" s="33"/>
      <c r="H199" s="34"/>
    </row>
    <row r="200" spans="1:8" ht="12.75" collapsed="1">
      <c r="A200" s="156" t="s">
        <v>39</v>
      </c>
      <c r="B200" s="31"/>
      <c r="D200" s="33"/>
      <c r="E200" s="33"/>
      <c r="F200" s="33"/>
      <c r="G200" s="33"/>
      <c r="H200" s="34"/>
    </row>
    <row r="201" spans="1:8" ht="12.75">
      <c r="A201" s="40" t="s">
        <v>212</v>
      </c>
      <c r="B201" s="70" t="s">
        <v>4</v>
      </c>
      <c r="D201" s="71">
        <f>IF(C194+C195-D192&lt;0,0,C194+C195-D192)</f>
        <v>0</v>
      </c>
      <c r="E201" s="71">
        <f>IF(D194+D195-E192&lt;0,0,D194+D195-E192)</f>
        <v>11540883.284189431</v>
      </c>
      <c r="F201" s="71">
        <f>IF(E194+E195-F192&lt;0,0,E194+E195-F192)</f>
        <v>10400440.225779958</v>
      </c>
      <c r="G201" s="71">
        <f>IF(F194+F195-G192&lt;0,0,F194+F195-G192)</f>
        <v>39588429.33453269</v>
      </c>
      <c r="H201" s="71">
        <f>IF(G194+G195-H192&lt;0,0,G194+G195-H192)</f>
        <v>102006833.29451886</v>
      </c>
    </row>
    <row r="202" spans="1:8" ht="12.75">
      <c r="A202" s="40" t="s">
        <v>39</v>
      </c>
      <c r="B202" s="70" t="s">
        <v>1</v>
      </c>
      <c r="D202" s="60">
        <v>0</v>
      </c>
      <c r="E202" s="60">
        <v>0</v>
      </c>
      <c r="F202" s="60">
        <v>0</v>
      </c>
      <c r="G202" s="60">
        <v>0</v>
      </c>
      <c r="H202" s="60">
        <v>0</v>
      </c>
    </row>
    <row r="203" spans="1:8" ht="12.75">
      <c r="A203" s="40" t="s">
        <v>39</v>
      </c>
      <c r="B203" s="70" t="s">
        <v>4</v>
      </c>
      <c r="D203" s="71">
        <f>IF(D201&lt;0,0,C195*D202)</f>
        <v>0</v>
      </c>
      <c r="E203" s="71">
        <f>IF(E201&lt;0,0,D195*E202)</f>
        <v>0</v>
      </c>
      <c r="F203" s="71">
        <f>IF(F201&lt;0,0,E195*F202)</f>
        <v>0</v>
      </c>
      <c r="G203" s="71">
        <f>IF(G201&lt;0,0,F195*G202)</f>
        <v>0</v>
      </c>
      <c r="H203" s="71">
        <f>IF(H201&lt;0,0,G195*H202)</f>
        <v>0</v>
      </c>
    </row>
    <row r="337" ht="12.75">
      <c r="B337" s="72" t="s">
        <v>300</v>
      </c>
    </row>
  </sheetData>
  <sheetProtection/>
  <dataValidations count="52">
    <dataValidation allowBlank="1" showInputMessage="1" showErrorMessage="1" promptTitle="Otros Costos" prompt="Valor total anual de Otros Costos de Fabricación p.e. Mantenimiento, supervisión, seguridad, etc." sqref="D63:H63"/>
    <dataValidation allowBlank="1" showInputMessage="1" showErrorMessage="1" promptTitle="Gastos de Ventas" prompt="Valor total anual de Gastos de Ventas p.e. Gastos de Publicidad y Promoción, Gastos Fuerza de Ventas entre otros" sqref="D73:H73"/>
    <dataValidation allowBlank="1" showInputMessage="1" showErrorMessage="1" promptTitle="Gastos de Administración" prompt="Valor total anual de Gastos de Administración.  p.e. Gastos de Personal de Administración, Gastos de Oficina, Gastos de Papelería entre otros" sqref="D74:H74"/>
    <dataValidation allowBlank="1" showInputMessage="1" showErrorMessage="1" promptTitle="Cuentas por Cobrar" prompt="Valor inicial de las Cuentas por Cobrar Comerciales" sqref="C79"/>
    <dataValidation allowBlank="1" showInputMessage="1" showErrorMessage="1" promptTitle="% Provisión Cuentas por Cobrar" prompt="% Cuentas por Cobrar a provisionar por ser de dificil cobro o impagables" sqref="D81:H81"/>
    <dataValidation allowBlank="1" showInputMessage="1" showErrorMessage="1" promptTitle="Inventario Producto Final" prompt="Valor inicial del Inventario de Producto Final Primer Año." sqref="C86"/>
    <dataValidation allowBlank="1" showInputMessage="1" showErrorMessage="1" promptTitle="Días de Inventario PT" prompt="Días de Inventario Producto Terminado (en relación del costo de producción)" sqref="D85:H85"/>
    <dataValidation allowBlank="1" showInputMessage="1" showErrorMessage="1" promptTitle="Días de Inventario PP" prompt="Días de Inventario Producto en Proceso (en relación del costo de producción)" sqref="D88:H88"/>
    <dataValidation allowBlank="1" showInputMessage="1" showErrorMessage="1" promptTitle="Días de Inventario MP" prompt="Días de Inventario Materia Prima(en relación al costo de total de Materia Prima)" sqref="D91:H91"/>
    <dataValidation allowBlank="1" showInputMessage="1" showErrorMessage="1" promptTitle="Inventario Producto Proceso" prompt="Valor inicial del Inventario de Producto en Proceso Primer Año." sqref="C89"/>
    <dataValidation allowBlank="1" showInputMessage="1" showErrorMessage="1" promptTitle="Inventario Materia Prima" prompt="Valor inicial del Inventario de Materia Prima Primer Año." sqref="C92"/>
    <dataValidation allowBlank="1" showInputMessage="1" showErrorMessage="1" promptTitle="Anticipos y Otras Cuentas por Co" prompt="Valor total anual Anticipos y Otras Cuentas por Cobrar" sqref="C96:H96"/>
    <dataValidation allowBlank="1" showInputMessage="1" showErrorMessage="1" promptTitle="Gastos Anticipados" prompt="Valor total anual de Gastos pagados por Anticipados" sqref="C99:H99"/>
    <dataValidation allowBlank="1" showInputMessage="1" showErrorMessage="1" promptTitle="Días de Cuentas por Pagar" prompt="Días de Cuentas por Pagar a Proveedores (respecto del total de Mano de Obra y Materia Prima)&#10;" sqref="D102:H102"/>
    <dataValidation allowBlank="1" showInputMessage="1" showErrorMessage="1" promptTitle="Cuentas por Pagar Proveedores" prompt="Valor inicial de Cuentas por Pagar a Proveedores" sqref="C103"/>
    <dataValidation allowBlank="1" showInputMessage="1" showErrorMessage="1" promptTitle="Anticipos y Otras Cuentas por Co" prompt="Valor total anual de Acreedores Varios" sqref="D105:H105"/>
    <dataValidation allowBlank="1" showInputMessage="1" showErrorMessage="1" promptTitle="Otros Pasivos" prompt="Valor Total Anual de Otros Pasivos" sqref="D107:H107"/>
    <dataValidation allowBlank="1" showInputMessage="1" showErrorMessage="1" promptTitle="Terrenos" prompt="Valor total anual de Inversión en Terrenos (se toma como inversión al inicio del año)" sqref="C163:H163 C164:C170"/>
    <dataValidation allowBlank="1" showInputMessage="1" showErrorMessage="1" promptTitle="Construcciones y Edificios" prompt="Valor total anual de Inversión en Construcciones y Edificios (se toma como inversión al inicio del año)" sqref="D164:H164"/>
    <dataValidation allowBlank="1" showInputMessage="1" showErrorMessage="1" promptTitle="Maquinaria y Equipo" prompt="Valor total anual de Inversión en Maquinaria y Equipo (se toma como inversión al inicio del año)" sqref="D165:H165"/>
    <dataValidation allowBlank="1" showInputMessage="1" showErrorMessage="1" promptTitle="Construcciones y Edificios" prompt="Valor total anual de Inversión en Muebles y Enseres (se toma como inversión al inicio del año)" sqref="D166:H166"/>
    <dataValidation allowBlank="1" showInputMessage="1" showErrorMessage="1" promptTitle="Equipos de Transporte" prompt="Valor total anual de Inversión en Equipos de Transporte (se toma como inversión al inicio del año)" sqref="D167:H167"/>
    <dataValidation allowBlank="1" showInputMessage="1" showErrorMessage="1" promptTitle="Equipos de Oficina" prompt="Valor total anual de Inversión en Equipos de Oficina (se toma como inversión al inicio del año)" sqref="D168:H168"/>
    <dataValidation allowBlank="1" showInputMessage="1" showErrorMessage="1" promptTitle="Semovientes " prompt="Valor total anual de Semovientes (se toma como inversión al inicio del año)" sqref="D169:H169"/>
    <dataValidation allowBlank="1" showInputMessage="1" showErrorMessage="1" promptTitle="Cultivos Permanentes" prompt="Valor total anual de Inversión en Cultivos Permanentes (se toma como inversión al inicio del año)" sqref="D170:H170"/>
    <dataValidation allowBlank="1" showInputMessage="1" showErrorMessage="1" promptTitle="Otros Activos" prompt="Valor total anual de Otros Activos" sqref="C173:H173"/>
    <dataValidation allowBlank="1" showInputMessage="1" showErrorMessage="1" promptTitle="Aporte de Capital" prompt="Valor inicial de Aportes de Socios" sqref="C186"/>
    <dataValidation allowBlank="1" showInputMessage="1" showErrorMessage="1" promptTitle="Nuevos Aportes" prompt="Valor adicional de aportes de capital (tomado al inicio del período)" sqref="D187:H187"/>
    <dataValidation allowBlank="1" showInputMessage="1" showErrorMessage="1" promptTitle="Obligaciones Fondo Emprender" prompt="Valor solicitado de financiación al Fondo Emprender" sqref="C188"/>
    <dataValidation allowBlank="1" showInputMessage="1" showErrorMessage="1" promptTitle="Obligaciones Financieras" prompt="Valor total anual de Recursos de obligaciones financieras (tomado como desembolsos al inicio del período)" sqref="C189:H189"/>
    <dataValidation allowBlank="1" showInputMessage="1" showErrorMessage="1" promptTitle="Dividendos" prompt="% de Dividendos Repartidos (% respecto de la utilidad repartible)" sqref="D202:H202"/>
    <dataValidation allowBlank="1" showInputMessage="1" showErrorMessage="1" promptTitle="Costo Prom. Mano de Obra" prompt="Valor del Costo Promedio Unitario de Mano de Obra Producto 1" sqref="D49:H49 D50:D57"/>
    <dataValidation allowBlank="1" showInputMessage="1" showErrorMessage="1" promptTitle="Costo Prom. Mano de Obra" prompt="Valor del Costo Promedio Unitario de Mano de Obra Producto 2" sqref="E50:H57"/>
    <dataValidation allowBlank="1" showInputMessage="1" showErrorMessage="1" promptTitle="Unidades de Venta" prompt="Valor Total Unidades Vendidas" sqref="D33:H33"/>
    <dataValidation allowBlank="1" showInputMessage="1" showErrorMessage="1" promptTitle="% Rebaja en ventas" prompt="Porcentaje por descuento y pronto pago del total de las ventas brutas" sqref="D36:H36"/>
    <dataValidation allowBlank="1" showInputMessage="1" showErrorMessage="1" promptTitle="Precio Promedio" prompt="Valor del Precio Promedio Unidades Vendidas en el año Producto 1" sqref="D12:H12 F13 D13:D20 D22:D30"/>
    <dataValidation allowBlank="1" showInputMessage="1" showErrorMessage="1" promptTitle="Precio Promedio" prompt="Valor del Precio Promedio Unidades Vendidas en el año Producto 2" sqref="H14:H20 G13:H13 E13"/>
    <dataValidation allowBlank="1" showInputMessage="1" showErrorMessage="1" promptTitle="Precio Promedio" prompt="Valor del Precio Promedio Unidades Vendidas en el año Producto 3" sqref="E15:F20 E14:G14"/>
    <dataValidation allowBlank="1" showInputMessage="1" showErrorMessage="1" promptTitle="Precio Promedio" prompt="Valor del Precio Promedio Unidades Vendidas en el año Producto 4" sqref="G15"/>
    <dataValidation allowBlank="1" showInputMessage="1" showErrorMessage="1" promptTitle="Precio Promedio" prompt="Valor del Precio Promedio Unidades Vendidas en el año Producto 5" sqref="G16:G20"/>
    <dataValidation allowBlank="1" showInputMessage="1" showErrorMessage="1" promptTitle="Unidades de Venta" prompt="Valor Total Unidades Vendidas Producto 1&#10;" sqref="E22:H22"/>
    <dataValidation allowBlank="1" showInputMessage="1" showErrorMessage="1" promptTitle="Unidades de Venta" prompt="Valor Total Unidades Vendidas Producto 2" sqref="E23:H30"/>
    <dataValidation allowBlank="1" showInputMessage="1" showErrorMessage="1" promptTitle="% inflación" prompt="Variación Anual IPC" sqref="D4:H4"/>
    <dataValidation allowBlank="1" showInputMessage="1" showErrorMessage="1" promptTitle="% Devaluación" prompt="% Variación Anual" sqref="D5:H5"/>
    <dataValidation allowBlank="1" showInputMessage="1" showErrorMessage="1" promptTitle="% Variación Precios Productos" prompt="% Variación Anual" sqref="D7:H7"/>
    <dataValidation allowBlank="1" showInputMessage="1" showErrorMessage="1" promptTitle="% Variación Prod Interno Bruto" prompt="% Variación Anual" sqref="D8:H8"/>
    <dataValidation allowBlank="1" showInputMessage="1" showErrorMessage="1" promptTitle="Tasa DTF " prompt="Tasa Anual Trimestre Anticipado" sqref="D9:H9"/>
    <dataValidation allowBlank="1" showInputMessage="1" showErrorMessage="1" promptTitle="Costo Prom. Materia Prima" prompt="Valor del Costo Promedio Unitario de Materia Prima Producto 1" sqref="D39:H39 D40:D47"/>
    <dataValidation allowBlank="1" showInputMessage="1" showErrorMessage="1" promptTitle="Costo Prom. Materia Prima" prompt="Valor del Costo Promedio Unitario de Materia Prima Producto 2" sqref="E40:H47"/>
    <dataValidation allowBlank="1" showInputMessage="1" showErrorMessage="1" promptTitle="% Renta Presuntiva" prompt="Porcentaje de Renta Presuntiva sobre el patrimonio líquido" sqref="D178:H178"/>
    <dataValidation allowBlank="1" showInputMessage="1" showErrorMessage="1" promptTitle="Rotación de Cartera" prompt="Días Promedio de Recuperacion de Cartera (En relación al valor total de Ventas del año)" sqref="D78:H78"/>
    <dataValidation allowBlank="1" showInputMessage="1" showErrorMessage="1" promptTitle="% Impuesto de Renta" prompt="Tasa de Impuesto de Renta. Se calcula sobre Renta Presuntiva o Renta Liquida, la Mayor de ellas." sqref="D181:H181"/>
  </dataValidations>
  <printOptions gridLines="1" horizontalCentered="1" verticalCentered="1"/>
  <pageMargins left="0.1968503937007874" right="0.1968503937007874" top="0.984251968503937" bottom="0.3937007874015748" header="0.5905511811023623" footer="0.5118110236220472"/>
  <pageSetup fitToHeight="1" fitToWidth="1" horizontalDpi="300" verticalDpi="300" orientation="landscape" scale="56" r:id="rId3"/>
  <headerFooter alignWithMargins="0">
    <oddHeader>&amp;C&amp;"Arial,Negrita"&amp;14MODELAJE FINANCIERO
&amp;12PROYECCIONES ANUALES&amp;"Arial,Normal"&amp;10
</oddHeader>
    <oddFooter>&amp;L&amp;"Arial,Negrita"&amp;8&amp;F&amp;C&amp;"Arial,Negrita"&amp;8Página &amp;P</oddFooter>
  </headerFooter>
  <ignoredErrors>
    <ignoredError sqref="E14:E20 F14 F15:F20 F13 G12 G17:G20 H12:H14 H15:H20 E30:H30" unlockedFormula="1"/>
    <ignoredError sqref="G13 G14:G16" formula="1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indexed="30"/>
  </sheetPr>
  <dimension ref="A1:H38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11.421875" defaultRowHeight="12.75"/>
  <cols>
    <col min="1" max="1" width="2.7109375" style="8" customWidth="1"/>
    <col min="2" max="2" width="35.421875" style="1" customWidth="1"/>
    <col min="3" max="4" width="19.28125" style="1" customWidth="1"/>
    <col min="5" max="7" width="18.28125" style="1" customWidth="1"/>
    <col min="8" max="8" width="15.28125" style="8" customWidth="1"/>
    <col min="9" max="16384" width="11.421875" style="8" customWidth="1"/>
  </cols>
  <sheetData>
    <row r="1" spans="2:7" ht="12.75">
      <c r="B1" s="10"/>
      <c r="C1" s="11">
        <v>1</v>
      </c>
      <c r="D1" s="11">
        <v>2</v>
      </c>
      <c r="E1" s="11">
        <v>3</v>
      </c>
      <c r="F1" s="11">
        <v>4</v>
      </c>
      <c r="G1" s="11">
        <v>5</v>
      </c>
    </row>
    <row r="2" spans="2:7" ht="12.75">
      <c r="B2" s="12" t="s">
        <v>107</v>
      </c>
      <c r="C2" s="13"/>
      <c r="D2" s="13"/>
      <c r="E2" s="13"/>
      <c r="F2" s="13"/>
      <c r="G2" s="13"/>
    </row>
    <row r="3" spans="2:7" ht="12.75">
      <c r="B3" s="26" t="s">
        <v>53</v>
      </c>
      <c r="C3" s="6">
        <f>Proyecciones!D165</f>
        <v>0</v>
      </c>
      <c r="D3" s="6">
        <f>Proyecciones!E165</f>
        <v>0</v>
      </c>
      <c r="E3" s="6">
        <f>Proyecciones!F165</f>
        <v>0</v>
      </c>
      <c r="F3" s="6">
        <f>Proyecciones!G165</f>
        <v>0</v>
      </c>
      <c r="G3" s="6">
        <f>Proyecciones!H165</f>
        <v>0</v>
      </c>
    </row>
    <row r="4" spans="2:7" s="9" customFormat="1" ht="12.75">
      <c r="B4" s="17" t="s">
        <v>14</v>
      </c>
      <c r="C4" s="20"/>
      <c r="D4" s="20"/>
      <c r="E4" s="20"/>
      <c r="F4" s="20"/>
      <c r="G4" s="20"/>
    </row>
    <row r="5" spans="1:7" ht="12.75">
      <c r="A5" s="5">
        <v>1</v>
      </c>
      <c r="B5" s="21" t="s">
        <v>108</v>
      </c>
      <c r="C5" s="2">
        <f>IF($A5&gt;C$1,0,IF($A5=C$1,C$3*Proyecciones!D$4,B12*Proyecciones!D$4))</f>
        <v>0</v>
      </c>
      <c r="D5" s="2">
        <f>IF($A5&gt;D$1,0,IF($A5=D$1,D$3*Proyecciones!E$4,C12*Proyecciones!E$4))</f>
        <v>0</v>
      </c>
      <c r="E5" s="2">
        <f>IF($A5&gt;E$1,0,IF($A5=E$1,E$3*Proyecciones!F$4,D12*Proyecciones!F$4))</f>
        <v>0</v>
      </c>
      <c r="F5" s="2">
        <f>IF($A5&gt;F$1,0,IF($A5=F$1,F$3*Proyecciones!G$4,E12*Proyecciones!G$4))</f>
        <v>0</v>
      </c>
      <c r="G5" s="2">
        <f>IF($A5&gt;G$1,0,IF($A5=G$1,G$3*Proyecciones!H$4,F12*Proyecciones!H$4))</f>
        <v>0</v>
      </c>
    </row>
    <row r="6" spans="1:7" ht="12.75">
      <c r="A6" s="5">
        <v>2</v>
      </c>
      <c r="B6" s="21" t="s">
        <v>109</v>
      </c>
      <c r="C6" s="2">
        <f>IF($A6&gt;C$1,0,IF($A6=C$1,C$3*Proyecciones!D$4,B13*Proyecciones!D$4))</f>
        <v>0</v>
      </c>
      <c r="D6" s="2">
        <f>IF($A6&gt;D$1,0,IF($A6=D$1,D$3*Proyecciones!E$4,C13*Proyecciones!E$4))</f>
        <v>0</v>
      </c>
      <c r="E6" s="2">
        <f>IF($A6&gt;E$1,0,IF($A6=E$1,E$3*Proyecciones!F$4,D13*Proyecciones!F$4))</f>
        <v>0</v>
      </c>
      <c r="F6" s="2">
        <f>IF($A6&gt;F$1,0,IF($A6=F$1,F$3*Proyecciones!G$4,E13*Proyecciones!G$4))</f>
        <v>0</v>
      </c>
      <c r="G6" s="2">
        <f>IF($A6&gt;G$1,0,IF($A6=G$1,G$3*Proyecciones!H$4,F13*Proyecciones!H$4))</f>
        <v>0</v>
      </c>
    </row>
    <row r="7" spans="1:7" ht="12.75">
      <c r="A7" s="5">
        <v>3</v>
      </c>
      <c r="B7" s="21" t="s">
        <v>110</v>
      </c>
      <c r="C7" s="2">
        <f>IF($A7&gt;C$1,0,IF($A7=C$1,C$3*Proyecciones!D$4,B14*Proyecciones!D$4))</f>
        <v>0</v>
      </c>
      <c r="D7" s="2">
        <f>IF($A7&gt;D$1,0,IF($A7=D$1,D$3*Proyecciones!E$4,C14*Proyecciones!E$4))</f>
        <v>0</v>
      </c>
      <c r="E7" s="2">
        <f>IF($A7&gt;E$1,0,IF($A7=E$1,E$3*Proyecciones!F$4,D14*Proyecciones!F$4))</f>
        <v>0</v>
      </c>
      <c r="F7" s="2">
        <f>IF($A7&gt;F$1,0,IF($A7=F$1,F$3*Proyecciones!G$4,E14*Proyecciones!G$4))</f>
        <v>0</v>
      </c>
      <c r="G7" s="2">
        <f>IF($A7&gt;G$1,0,IF($A7=G$1,G$3*Proyecciones!H$4,F14*Proyecciones!H$4))</f>
        <v>0</v>
      </c>
    </row>
    <row r="8" spans="1:7" ht="12.75">
      <c r="A8" s="5">
        <v>4</v>
      </c>
      <c r="B8" s="21" t="s">
        <v>111</v>
      </c>
      <c r="C8" s="2">
        <f>IF($A8&gt;C$1,0,IF($A8=C$1,C$3*Proyecciones!D$4,B15*Proyecciones!D$4))</f>
        <v>0</v>
      </c>
      <c r="D8" s="2">
        <f>IF($A8&gt;D$1,0,IF($A8=D$1,D$3*Proyecciones!E$4,C15*Proyecciones!E$4))</f>
        <v>0</v>
      </c>
      <c r="E8" s="2">
        <f>IF($A8&gt;E$1,0,IF($A8=E$1,E$3*Proyecciones!F$4,D15*Proyecciones!F$4))</f>
        <v>0</v>
      </c>
      <c r="F8" s="2">
        <f>IF($A8&gt;F$1,0,IF($A8=F$1,F$3*Proyecciones!G$4,E15*Proyecciones!G$4))</f>
        <v>0</v>
      </c>
      <c r="G8" s="2">
        <f>IF($A8&gt;G$1,0,IF($A8=G$1,G$3*Proyecciones!H$4,F15*Proyecciones!H$4))</f>
        <v>0</v>
      </c>
    </row>
    <row r="9" spans="1:7" ht="12.75">
      <c r="A9" s="5">
        <v>5</v>
      </c>
      <c r="B9" s="21" t="s">
        <v>112</v>
      </c>
      <c r="C9" s="2">
        <f>IF($A9&gt;C$1,0,IF($A9=C$1,C$3*Proyecciones!D$4,B16*Proyecciones!D$4))</f>
        <v>0</v>
      </c>
      <c r="D9" s="2">
        <f>IF($A9&gt;D$1,0,IF($A9=D$1,D$3*Proyecciones!E$4,C16*Proyecciones!E$4))</f>
        <v>0</v>
      </c>
      <c r="E9" s="2">
        <f>IF($A9&gt;E$1,0,IF($A9=E$1,E$3*Proyecciones!F$4,D16*Proyecciones!F$4))</f>
        <v>0</v>
      </c>
      <c r="F9" s="2">
        <f>IF($A9&gt;F$1,0,IF($A9=F$1,F$3*Proyecciones!G$4,E16*Proyecciones!G$4))</f>
        <v>0</v>
      </c>
      <c r="G9" s="2">
        <f>IF($A9&gt;G$1,0,IF($A9=G$1,G$3*Proyecciones!H$4,F16*Proyecciones!H$4))</f>
        <v>0</v>
      </c>
    </row>
    <row r="10" spans="2:7" ht="12.75">
      <c r="B10" s="5" t="s">
        <v>113</v>
      </c>
      <c r="C10" s="2">
        <f>SUM(C5:C9)</f>
        <v>0</v>
      </c>
      <c r="D10" s="2">
        <f>SUM(D5:D9)</f>
        <v>0</v>
      </c>
      <c r="E10" s="2">
        <f>SUM(E5:E9)</f>
        <v>0</v>
      </c>
      <c r="F10" s="2">
        <f>SUM(F5:F9)</f>
        <v>0</v>
      </c>
      <c r="G10" s="2">
        <f>SUM(G5:G9)</f>
        <v>0</v>
      </c>
    </row>
    <row r="11" spans="2:7" s="22" customFormat="1" ht="12.75">
      <c r="B11" s="17" t="s">
        <v>114</v>
      </c>
      <c r="C11" s="23"/>
      <c r="D11" s="23"/>
      <c r="E11" s="23"/>
      <c r="F11" s="23"/>
      <c r="G11" s="23"/>
    </row>
    <row r="12" spans="1:7" ht="12.75">
      <c r="A12" s="5">
        <v>1</v>
      </c>
      <c r="B12" s="21" t="s">
        <v>108</v>
      </c>
      <c r="C12" s="2">
        <f>IF($A12&gt;C$1,0,IF($A12=C$1,C$3+C5,B12+C5))</f>
        <v>0</v>
      </c>
      <c r="D12" s="2">
        <f>IF($A12&gt;D$1,0,IF($A12=D$1,D$3+D5,C12+D5))</f>
        <v>0</v>
      </c>
      <c r="E12" s="2">
        <f>IF($A12&gt;E$1,0,IF($A12=E$1,E$3+E5,D12+E5))</f>
        <v>0</v>
      </c>
      <c r="F12" s="2">
        <f>IF($A12&gt;F$1,0,IF($A12=F$1,F$3+F5,E12+F5))</f>
        <v>0</v>
      </c>
      <c r="G12" s="2">
        <f>IF($A12&gt;G$1,0,IF($A12=G$1,G$3+G5,F12+G5))</f>
        <v>0</v>
      </c>
    </row>
    <row r="13" spans="1:7" ht="12.75">
      <c r="A13" s="5">
        <v>2</v>
      </c>
      <c r="B13" s="21" t="s">
        <v>109</v>
      </c>
      <c r="C13" s="2">
        <f aca="true" t="shared" si="0" ref="C13:G16">IF($A13&gt;C$1,0,IF($A13=C$1,C$3+C6,B13+C6))</f>
        <v>0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</row>
    <row r="14" spans="1:7" ht="12.75">
      <c r="A14" s="5">
        <v>3</v>
      </c>
      <c r="B14" s="21" t="s">
        <v>110</v>
      </c>
      <c r="C14" s="2">
        <f t="shared" si="0"/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</row>
    <row r="15" spans="1:7" ht="12.75">
      <c r="A15" s="5">
        <v>4</v>
      </c>
      <c r="B15" s="21" t="s">
        <v>111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</row>
    <row r="16" spans="1:7" ht="12.75">
      <c r="A16" s="5">
        <v>5</v>
      </c>
      <c r="B16" s="21" t="s">
        <v>112</v>
      </c>
      <c r="C16" s="2">
        <f t="shared" si="0"/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</row>
    <row r="17" spans="2:7" ht="12.75">
      <c r="B17" s="5" t="s">
        <v>115</v>
      </c>
      <c r="C17" s="3">
        <f>SUM(C12:C16)</f>
        <v>0</v>
      </c>
      <c r="D17" s="3">
        <f>SUM(D12:D16)</f>
        <v>0</v>
      </c>
      <c r="E17" s="3">
        <f>SUM(E12:E16)</f>
        <v>0</v>
      </c>
      <c r="F17" s="3">
        <f>SUM(F12:F16)</f>
        <v>0</v>
      </c>
      <c r="G17" s="3">
        <f>SUM(G12:G16)</f>
        <v>0</v>
      </c>
    </row>
    <row r="18" spans="2:7" s="22" customFormat="1" ht="13.5" customHeight="1">
      <c r="B18" s="17" t="s">
        <v>22</v>
      </c>
      <c r="C18" s="23"/>
      <c r="D18" s="23"/>
      <c r="E18" s="23"/>
      <c r="F18" s="23"/>
      <c r="G18" s="23"/>
    </row>
    <row r="19" spans="1:7" ht="12.75">
      <c r="A19" s="5">
        <v>1</v>
      </c>
      <c r="B19" s="21" t="s">
        <v>108</v>
      </c>
      <c r="C19" s="2">
        <f>IF(OR($A19&gt;C$1,Bases!$B$12+$A19-1&lt;C$1),0,C12/Bases!$B$12)</f>
        <v>0</v>
      </c>
      <c r="D19" s="2">
        <f>IF(OR($A19&gt;D$1,Bases!$B$12+$A19-1&lt;D$1),0,D12/Bases!$B$12)</f>
        <v>0</v>
      </c>
      <c r="E19" s="2">
        <f>IF(OR($A19&gt;E$1,Bases!$B$12+$A19-1&lt;E$1),0,E12/Bases!$B$12)</f>
        <v>0</v>
      </c>
      <c r="F19" s="2">
        <f>IF(OR($A19&gt;F$1,Bases!$B$12+$A19-1&lt;F$1),0,F12/Bases!$B$12)</f>
        <v>0</v>
      </c>
      <c r="G19" s="2">
        <f>IF(OR($A19&gt;G$1,Bases!$B$12+$A19-1&lt;G$1),0,G12/Bases!$B$12)</f>
        <v>0</v>
      </c>
    </row>
    <row r="20" spans="1:7" ht="12.75">
      <c r="A20" s="5">
        <v>2</v>
      </c>
      <c r="B20" s="21" t="s">
        <v>109</v>
      </c>
      <c r="C20" s="2">
        <f>IF(OR($A20&gt;C$1,Bases!$B$12+$A20-1&lt;C$1),0,C13/Bases!$B$12)</f>
        <v>0</v>
      </c>
      <c r="D20" s="2">
        <f>IF(OR($A20&gt;D$1,Bases!$B$12+$A20-1&lt;D$1),0,D13/Bases!$B$12)</f>
        <v>0</v>
      </c>
      <c r="E20" s="2">
        <f>IF(OR($A20&gt;E$1,Bases!$B$12+$A20-1&lt;E$1),0,E13/Bases!$B$12)</f>
        <v>0</v>
      </c>
      <c r="F20" s="2">
        <f>IF(OR($A20&gt;F$1,Bases!$B$12+$A20-1&lt;F$1),0,F13/Bases!$B$12)</f>
        <v>0</v>
      </c>
      <c r="G20" s="2">
        <f>IF(OR($A20&gt;G$1,Bases!$B$12+$A20-1&lt;G$1),0,G13/Bases!$B$12)</f>
        <v>0</v>
      </c>
    </row>
    <row r="21" spans="1:7" ht="12.75">
      <c r="A21" s="5">
        <v>3</v>
      </c>
      <c r="B21" s="21" t="s">
        <v>110</v>
      </c>
      <c r="C21" s="2">
        <f>IF(OR($A21&gt;C$1,Bases!$B$12+$A21-1&lt;C$1),0,C14/Bases!$B$12)</f>
        <v>0</v>
      </c>
      <c r="D21" s="2">
        <f>IF(OR($A21&gt;D$1,Bases!$B$12+$A21-1&lt;D$1),0,D14/Bases!$B$12)</f>
        <v>0</v>
      </c>
      <c r="E21" s="2">
        <f>IF(OR($A21&gt;E$1,Bases!$B$12+$A21-1&lt;E$1),0,E14/Bases!$B$12)</f>
        <v>0</v>
      </c>
      <c r="F21" s="2">
        <f>IF(OR($A21&gt;F$1,Bases!$B$12+$A21-1&lt;F$1),0,F14/Bases!$B$12)</f>
        <v>0</v>
      </c>
      <c r="G21" s="2">
        <f>IF(OR($A21&gt;G$1,Bases!$B$12+$A21-1&lt;G$1),0,G14/Bases!$B$12)</f>
        <v>0</v>
      </c>
    </row>
    <row r="22" spans="1:7" ht="12.75">
      <c r="A22" s="5">
        <v>4</v>
      </c>
      <c r="B22" s="21" t="s">
        <v>111</v>
      </c>
      <c r="C22" s="2">
        <f>IF(OR($A22&gt;C$1,Bases!$B$12+$A22-1&lt;C$1),0,C15/Bases!$B$12)</f>
        <v>0</v>
      </c>
      <c r="D22" s="2">
        <f>IF(OR($A22&gt;D$1,Bases!$B$12+$A22-1&lt;D$1),0,D15/Bases!$B$12)</f>
        <v>0</v>
      </c>
      <c r="E22" s="2">
        <f>IF(OR($A22&gt;E$1,Bases!$B$12+$A22-1&lt;E$1),0,E15/Bases!$B$12)</f>
        <v>0</v>
      </c>
      <c r="F22" s="2">
        <f>IF(OR($A22&gt;F$1,Bases!$B$12+$A22-1&lt;F$1),0,F15/Bases!$B$12)</f>
        <v>0</v>
      </c>
      <c r="G22" s="2">
        <f>IF(OR($A22&gt;G$1,Bases!$B$12+$A22-1&lt;G$1),0,G15/Bases!$B$12)</f>
        <v>0</v>
      </c>
    </row>
    <row r="23" spans="1:7" ht="12.75">
      <c r="A23" s="5">
        <v>5</v>
      </c>
      <c r="B23" s="21" t="s">
        <v>112</v>
      </c>
      <c r="C23" s="2">
        <f>IF(OR($A23&gt;C$1,Bases!$B$12+$A23-1&lt;C$1),0,C16/Bases!$B$12)</f>
        <v>0</v>
      </c>
      <c r="D23" s="2">
        <f>IF(OR($A23&gt;D$1,Bases!$B$12+$A23-1&lt;D$1),0,D16/Bases!$B$12)</f>
        <v>0</v>
      </c>
      <c r="E23" s="2">
        <f>IF(OR($A23&gt;E$1,Bases!$B$12+$A23-1&lt;E$1),0,E16/Bases!$B$12)</f>
        <v>0</v>
      </c>
      <c r="F23" s="2">
        <f>IF(OR($A23&gt;F$1,Bases!$B$12+$A23-1&lt;F$1),0,F16/Bases!$B$12)</f>
        <v>0</v>
      </c>
      <c r="G23" s="2">
        <f>IF(OR($A23&gt;G$1,Bases!$B$12+$A23-1&lt;G$1),0,G16/Bases!$B$12)</f>
        <v>0</v>
      </c>
    </row>
    <row r="24" spans="2:7" ht="12.75">
      <c r="B24" s="5" t="s">
        <v>116</v>
      </c>
      <c r="C24" s="3">
        <f>SUM(C19:C23)</f>
        <v>0</v>
      </c>
      <c r="D24" s="3">
        <f>SUM(D19:D23)</f>
        <v>0</v>
      </c>
      <c r="E24" s="3">
        <f>SUM(E19:E23)</f>
        <v>0</v>
      </c>
      <c r="F24" s="3">
        <f>SUM(F19:F23)</f>
        <v>0</v>
      </c>
      <c r="G24" s="3">
        <f>SUM(G19:G23)</f>
        <v>0</v>
      </c>
    </row>
    <row r="25" spans="2:7" s="22" customFormat="1" ht="13.5" customHeight="1">
      <c r="B25" s="17" t="s">
        <v>117</v>
      </c>
      <c r="C25" s="23"/>
      <c r="D25" s="23"/>
      <c r="E25" s="23"/>
      <c r="F25" s="23"/>
      <c r="G25" s="23"/>
    </row>
    <row r="26" spans="1:7" ht="12.75">
      <c r="A26" s="5">
        <v>1</v>
      </c>
      <c r="B26" s="24" t="s">
        <v>108</v>
      </c>
      <c r="C26" s="2">
        <f>IF($A26&gt;=C$1,0,B33*Proyecciones!D$4)</f>
        <v>0</v>
      </c>
      <c r="D26" s="2">
        <f>IF($A26&gt;=D$1,0,C33*Proyecciones!E$4)</f>
        <v>0</v>
      </c>
      <c r="E26" s="2">
        <f>IF($A26&gt;=E$1,0,D33*Proyecciones!F$4)</f>
        <v>0</v>
      </c>
      <c r="F26" s="2">
        <f>IF($A26&gt;=F$1,0,E33*Proyecciones!G$4)</f>
        <v>0</v>
      </c>
      <c r="G26" s="2">
        <f>IF($A26&gt;=G$1,0,F33*Proyecciones!H$4)</f>
        <v>0</v>
      </c>
    </row>
    <row r="27" spans="1:7" ht="12.75">
      <c r="A27" s="5">
        <v>2</v>
      </c>
      <c r="B27" s="24" t="s">
        <v>109</v>
      </c>
      <c r="C27" s="2">
        <f>IF($A27&gt;=C$1,0,B34*Proyecciones!D$4)</f>
        <v>0</v>
      </c>
      <c r="D27" s="2">
        <f>IF($A27&gt;=D$1,0,C34*Proyecciones!E$4)</f>
        <v>0</v>
      </c>
      <c r="E27" s="2">
        <f>IF($A27&gt;=E$1,0,D34*Proyecciones!F$4)</f>
        <v>0</v>
      </c>
      <c r="F27" s="2">
        <f>IF($A27&gt;=F$1,0,E34*Proyecciones!G$4)</f>
        <v>0</v>
      </c>
      <c r="G27" s="2">
        <f>IF($A27&gt;=G$1,0,F34*Proyecciones!H$4)</f>
        <v>0</v>
      </c>
    </row>
    <row r="28" spans="1:7" ht="12.75">
      <c r="A28" s="5">
        <v>3</v>
      </c>
      <c r="B28" s="24" t="s">
        <v>110</v>
      </c>
      <c r="C28" s="2">
        <f>IF($A28&gt;=C$1,0,B35*Proyecciones!D$4)</f>
        <v>0</v>
      </c>
      <c r="D28" s="2">
        <f>IF($A28&gt;=D$1,0,C35*Proyecciones!E$4)</f>
        <v>0</v>
      </c>
      <c r="E28" s="2">
        <f>IF($A28&gt;=E$1,0,D35*Proyecciones!F$4)</f>
        <v>0</v>
      </c>
      <c r="F28" s="2">
        <f>IF($A28&gt;=F$1,0,E35*Proyecciones!G$4)</f>
        <v>0</v>
      </c>
      <c r="G28" s="2">
        <f>IF($A28&gt;=G$1,0,F35*Proyecciones!H$4)</f>
        <v>0</v>
      </c>
    </row>
    <row r="29" spans="1:7" ht="12.75">
      <c r="A29" s="5">
        <v>4</v>
      </c>
      <c r="B29" s="24" t="s">
        <v>111</v>
      </c>
      <c r="C29" s="2">
        <f>IF($A29&gt;=C$1,0,B36*Proyecciones!D$4)</f>
        <v>0</v>
      </c>
      <c r="D29" s="2">
        <f>IF($A29&gt;=D$1,0,C36*Proyecciones!E$4)</f>
        <v>0</v>
      </c>
      <c r="E29" s="2">
        <f>IF($A29&gt;=E$1,0,D36*Proyecciones!F$4)</f>
        <v>0</v>
      </c>
      <c r="F29" s="2">
        <f>IF($A29&gt;=F$1,0,E36*Proyecciones!G$4)</f>
        <v>0</v>
      </c>
      <c r="G29" s="2">
        <f>IF($A29&gt;=G$1,0,F36*Proyecciones!H$4)</f>
        <v>0</v>
      </c>
    </row>
    <row r="30" spans="1:7" ht="12.75">
      <c r="A30" s="5">
        <v>5</v>
      </c>
      <c r="B30" s="24" t="s">
        <v>112</v>
      </c>
      <c r="C30" s="2">
        <f>IF($A30&gt;=C$1,0,B37*Proyecciones!D$4)</f>
        <v>0</v>
      </c>
      <c r="D30" s="2">
        <f>IF($A30&gt;=D$1,0,C37*Proyecciones!E$4)</f>
        <v>0</v>
      </c>
      <c r="E30" s="2">
        <f>IF($A30&gt;=E$1,0,D37*Proyecciones!F$4)</f>
        <v>0</v>
      </c>
      <c r="F30" s="2">
        <f>IF($A30&gt;=F$1,0,E37*Proyecciones!G$4)</f>
        <v>0</v>
      </c>
      <c r="G30" s="2">
        <f>IF($A30&gt;=G$1,0,F37*Proyecciones!H$4)</f>
        <v>0</v>
      </c>
    </row>
    <row r="31" spans="2:7" ht="12.75">
      <c r="B31" s="7" t="s">
        <v>118</v>
      </c>
      <c r="C31" s="2">
        <f>SUM(C26:C30)</f>
        <v>0</v>
      </c>
      <c r="D31" s="2">
        <f>SUM(D26:D30)</f>
        <v>0</v>
      </c>
      <c r="E31" s="2">
        <f>SUM(E26:E30)</f>
        <v>0</v>
      </c>
      <c r="F31" s="2">
        <f>SUM(F26:F30)</f>
        <v>0</v>
      </c>
      <c r="G31" s="2">
        <f>SUM(G26:G30)</f>
        <v>0</v>
      </c>
    </row>
    <row r="32" spans="2:7" s="22" customFormat="1" ht="13.5" customHeight="1">
      <c r="B32" s="17" t="s">
        <v>119</v>
      </c>
      <c r="C32" s="23"/>
      <c r="D32" s="23"/>
      <c r="E32" s="23"/>
      <c r="F32" s="23"/>
      <c r="G32" s="23"/>
    </row>
    <row r="33" spans="1:8" ht="12.75">
      <c r="A33" s="5">
        <v>1</v>
      </c>
      <c r="B33" s="21" t="s">
        <v>108</v>
      </c>
      <c r="C33" s="3">
        <f>IF($A33&gt;C$1,0,IF($A33=C$1,C19,B33+C19+C26))</f>
        <v>0</v>
      </c>
      <c r="D33" s="3">
        <f>IF($A33&gt;D$1,0,IF($A33=D$1,D19,C33+D19+D26))</f>
        <v>0</v>
      </c>
      <c r="E33" s="3">
        <f>IF($A33&gt;E$1,0,IF($A33=E$1,E19,D33+E19+E26))</f>
        <v>0</v>
      </c>
      <c r="F33" s="3">
        <f>IF($A33&gt;F$1,0,IF($A33=F$1,F19,E33+F19+F26))</f>
        <v>0</v>
      </c>
      <c r="G33" s="3">
        <f>IF($A33&gt;G$1,0,IF($A33=G$1,G19,F33+G19+G26))</f>
        <v>0</v>
      </c>
      <c r="H33" s="25"/>
    </row>
    <row r="34" spans="1:7" ht="12.75">
      <c r="A34" s="5">
        <v>2</v>
      </c>
      <c r="B34" s="21" t="s">
        <v>109</v>
      </c>
      <c r="C34" s="3">
        <f aca="true" t="shared" si="1" ref="C34:G37">IF($A34&gt;C$1,0,IF($A34=C$1,C20,B34+C20+C27))</f>
        <v>0</v>
      </c>
      <c r="D34" s="3">
        <f t="shared" si="1"/>
        <v>0</v>
      </c>
      <c r="E34" s="3">
        <f t="shared" si="1"/>
        <v>0</v>
      </c>
      <c r="F34" s="3">
        <f t="shared" si="1"/>
        <v>0</v>
      </c>
      <c r="G34" s="3">
        <f t="shared" si="1"/>
        <v>0</v>
      </c>
    </row>
    <row r="35" spans="1:7" ht="12.75">
      <c r="A35" s="5">
        <v>3</v>
      </c>
      <c r="B35" s="21" t="s">
        <v>110</v>
      </c>
      <c r="C35" s="3">
        <f t="shared" si="1"/>
        <v>0</v>
      </c>
      <c r="D35" s="3">
        <f t="shared" si="1"/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</row>
    <row r="36" spans="1:7" ht="12.75">
      <c r="A36" s="5">
        <v>4</v>
      </c>
      <c r="B36" s="21" t="s">
        <v>111</v>
      </c>
      <c r="C36" s="3">
        <f t="shared" si="1"/>
        <v>0</v>
      </c>
      <c r="D36" s="3">
        <f t="shared" si="1"/>
        <v>0</v>
      </c>
      <c r="E36" s="3">
        <f t="shared" si="1"/>
        <v>0</v>
      </c>
      <c r="F36" s="3">
        <f t="shared" si="1"/>
        <v>0</v>
      </c>
      <c r="G36" s="3">
        <f t="shared" si="1"/>
        <v>0</v>
      </c>
    </row>
    <row r="37" spans="1:7" ht="12.75">
      <c r="A37" s="5">
        <v>5</v>
      </c>
      <c r="B37" s="21" t="s">
        <v>112</v>
      </c>
      <c r="C37" s="3">
        <f t="shared" si="1"/>
        <v>0</v>
      </c>
      <c r="D37" s="3">
        <f t="shared" si="1"/>
        <v>0</v>
      </c>
      <c r="E37" s="3">
        <f t="shared" si="1"/>
        <v>0</v>
      </c>
      <c r="F37" s="3">
        <f t="shared" si="1"/>
        <v>0</v>
      </c>
      <c r="G37" s="3">
        <f t="shared" si="1"/>
        <v>0</v>
      </c>
    </row>
    <row r="38" spans="2:7" ht="12.75">
      <c r="B38" s="5" t="s">
        <v>120</v>
      </c>
      <c r="C38" s="3">
        <f>SUM(C33:C37)</f>
        <v>0</v>
      </c>
      <c r="D38" s="3">
        <f>SUM(D33:D37)</f>
        <v>0</v>
      </c>
      <c r="E38" s="3">
        <f>SUM(E33:E37)</f>
        <v>0</v>
      </c>
      <c r="F38" s="3">
        <f>SUM(F33:F37)</f>
        <v>0</v>
      </c>
      <c r="G38" s="3">
        <f>SUM(G33:G37)</f>
        <v>0</v>
      </c>
    </row>
  </sheetData>
  <sheetProtection/>
  <printOptions gridLines="1" horizontalCentered="1" verticalCentered="1"/>
  <pageMargins left="0.1968503937007874" right="0.1968503937007874" top="0.984251968503937" bottom="0.3937007874015748" header="0.5905511811023623" footer="0.5118110236220472"/>
  <pageSetup horizontalDpi="300" verticalDpi="300" orientation="landscape" scale="85" r:id="rId1"/>
  <headerFooter alignWithMargins="0">
    <oddHeader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tabColor indexed="30"/>
  </sheetPr>
  <dimension ref="A1:H38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11.421875" defaultRowHeight="12.75"/>
  <cols>
    <col min="1" max="1" width="2.7109375" style="8" customWidth="1"/>
    <col min="2" max="2" width="35.421875" style="1" customWidth="1"/>
    <col min="3" max="4" width="19.28125" style="1" customWidth="1"/>
    <col min="5" max="7" width="18.28125" style="1" customWidth="1"/>
    <col min="8" max="8" width="15.28125" style="8" customWidth="1"/>
    <col min="9" max="16384" width="11.421875" style="8" customWidth="1"/>
  </cols>
  <sheetData>
    <row r="1" spans="2:7" ht="12.75">
      <c r="B1" s="10"/>
      <c r="C1" s="11">
        <v>1</v>
      </c>
      <c r="D1" s="11">
        <v>2</v>
      </c>
      <c r="E1" s="11">
        <v>3</v>
      </c>
      <c r="F1" s="11">
        <v>4</v>
      </c>
      <c r="G1" s="11">
        <v>5</v>
      </c>
    </row>
    <row r="2" spans="2:7" ht="12.75">
      <c r="B2" s="12" t="s">
        <v>107</v>
      </c>
      <c r="C2" s="13"/>
      <c r="D2" s="13"/>
      <c r="E2" s="13"/>
      <c r="F2" s="13"/>
      <c r="G2" s="13"/>
    </row>
    <row r="3" spans="2:7" ht="12.75">
      <c r="B3" s="26" t="s">
        <v>194</v>
      </c>
      <c r="C3" s="6">
        <f>Proyecciones!D166</f>
        <v>0</v>
      </c>
      <c r="D3" s="6">
        <f>Proyecciones!E166</f>
        <v>0</v>
      </c>
      <c r="E3" s="6">
        <f>Proyecciones!F166</f>
        <v>0</v>
      </c>
      <c r="F3" s="6">
        <f>Proyecciones!G166</f>
        <v>0</v>
      </c>
      <c r="G3" s="6">
        <f>Proyecciones!H166</f>
        <v>0</v>
      </c>
    </row>
    <row r="4" spans="2:7" s="9" customFormat="1" ht="12.75">
      <c r="B4" s="17" t="s">
        <v>14</v>
      </c>
      <c r="C4" s="20"/>
      <c r="D4" s="20"/>
      <c r="E4" s="20"/>
      <c r="F4" s="20"/>
      <c r="G4" s="20"/>
    </row>
    <row r="5" spans="1:7" ht="12.75">
      <c r="A5" s="5">
        <v>1</v>
      </c>
      <c r="B5" s="21" t="s">
        <v>108</v>
      </c>
      <c r="C5" s="2">
        <f>IF($A5&gt;C$1,0,IF($A5=C$1,C$3*Proyecciones!D$4,B12*Proyecciones!D$4))</f>
        <v>0</v>
      </c>
      <c r="D5" s="2">
        <f>IF($A5&gt;D$1,0,IF($A5=D$1,D$3*Proyecciones!E$4,C12*Proyecciones!E$4))</f>
        <v>0</v>
      </c>
      <c r="E5" s="2">
        <f>IF($A5&gt;E$1,0,IF($A5=E$1,E$3*Proyecciones!F$4,D12*Proyecciones!F$4))</f>
        <v>0</v>
      </c>
      <c r="F5" s="2">
        <f>IF($A5&gt;F$1,0,IF($A5=F$1,F$3*Proyecciones!G$4,E12*Proyecciones!G$4))</f>
        <v>0</v>
      </c>
      <c r="G5" s="2">
        <f>IF($A5&gt;G$1,0,IF($A5=G$1,G$3*Proyecciones!H$4,F12*Proyecciones!H$4))</f>
        <v>0</v>
      </c>
    </row>
    <row r="6" spans="1:7" ht="12.75">
      <c r="A6" s="5">
        <v>2</v>
      </c>
      <c r="B6" s="21" t="s">
        <v>109</v>
      </c>
      <c r="C6" s="2">
        <f>IF($A6&gt;C$1,0,IF($A6=C$1,C$3*Proyecciones!D$4,B13*Proyecciones!D$4))</f>
        <v>0</v>
      </c>
      <c r="D6" s="2">
        <f>IF($A6&gt;D$1,0,IF($A6=D$1,D$3*Proyecciones!E$4,C13*Proyecciones!E$4))</f>
        <v>0</v>
      </c>
      <c r="E6" s="2">
        <f>IF($A6&gt;E$1,0,IF($A6=E$1,E$3*Proyecciones!F$4,D13*Proyecciones!F$4))</f>
        <v>0</v>
      </c>
      <c r="F6" s="2">
        <f>IF($A6&gt;F$1,0,IF($A6=F$1,F$3*Proyecciones!G$4,E13*Proyecciones!G$4))</f>
        <v>0</v>
      </c>
      <c r="G6" s="2">
        <f>IF($A6&gt;G$1,0,IF($A6=G$1,G$3*Proyecciones!H$4,F13*Proyecciones!H$4))</f>
        <v>0</v>
      </c>
    </row>
    <row r="7" spans="1:7" ht="12.75">
      <c r="A7" s="5">
        <v>3</v>
      </c>
      <c r="B7" s="21" t="s">
        <v>110</v>
      </c>
      <c r="C7" s="2">
        <f>IF($A7&gt;C$1,0,IF($A7=C$1,C$3*Proyecciones!D$4,B14*Proyecciones!D$4))</f>
        <v>0</v>
      </c>
      <c r="D7" s="2">
        <f>IF($A7&gt;D$1,0,IF($A7=D$1,D$3*Proyecciones!E$4,C14*Proyecciones!E$4))</f>
        <v>0</v>
      </c>
      <c r="E7" s="2">
        <f>IF($A7&gt;E$1,0,IF($A7=E$1,E$3*Proyecciones!F$4,D14*Proyecciones!F$4))</f>
        <v>0</v>
      </c>
      <c r="F7" s="2">
        <f>IF($A7&gt;F$1,0,IF($A7=F$1,F$3*Proyecciones!G$4,E14*Proyecciones!G$4))</f>
        <v>0</v>
      </c>
      <c r="G7" s="2">
        <f>IF($A7&gt;G$1,0,IF($A7=G$1,G$3*Proyecciones!H$4,F14*Proyecciones!H$4))</f>
        <v>0</v>
      </c>
    </row>
    <row r="8" spans="1:7" ht="12.75">
      <c r="A8" s="5">
        <v>4</v>
      </c>
      <c r="B8" s="21" t="s">
        <v>111</v>
      </c>
      <c r="C8" s="2">
        <f>IF($A8&gt;C$1,0,IF($A8=C$1,C$3*Proyecciones!D$4,B15*Proyecciones!D$4))</f>
        <v>0</v>
      </c>
      <c r="D8" s="2">
        <f>IF($A8&gt;D$1,0,IF($A8=D$1,D$3*Proyecciones!E$4,C15*Proyecciones!E$4))</f>
        <v>0</v>
      </c>
      <c r="E8" s="2">
        <f>IF($A8&gt;E$1,0,IF($A8=E$1,E$3*Proyecciones!F$4,D15*Proyecciones!F$4))</f>
        <v>0</v>
      </c>
      <c r="F8" s="2">
        <f>IF($A8&gt;F$1,0,IF($A8=F$1,F$3*Proyecciones!G$4,E15*Proyecciones!G$4))</f>
        <v>0</v>
      </c>
      <c r="G8" s="2">
        <f>IF($A8&gt;G$1,0,IF($A8=G$1,G$3*Proyecciones!H$4,F15*Proyecciones!H$4))</f>
        <v>0</v>
      </c>
    </row>
    <row r="9" spans="1:7" ht="12.75">
      <c r="A9" s="5">
        <v>5</v>
      </c>
      <c r="B9" s="21" t="s">
        <v>112</v>
      </c>
      <c r="C9" s="2">
        <f>IF($A9&gt;C$1,0,IF($A9=C$1,C$3*Proyecciones!D$4,B16*Proyecciones!D$4))</f>
        <v>0</v>
      </c>
      <c r="D9" s="2">
        <f>IF($A9&gt;D$1,0,IF($A9=D$1,D$3*Proyecciones!E$4,C16*Proyecciones!E$4))</f>
        <v>0</v>
      </c>
      <c r="E9" s="2">
        <f>IF($A9&gt;E$1,0,IF($A9=E$1,E$3*Proyecciones!F$4,D16*Proyecciones!F$4))</f>
        <v>0</v>
      </c>
      <c r="F9" s="2">
        <f>IF($A9&gt;F$1,0,IF($A9=F$1,F$3*Proyecciones!G$4,E16*Proyecciones!G$4))</f>
        <v>0</v>
      </c>
      <c r="G9" s="2">
        <f>IF($A9&gt;G$1,0,IF($A9=G$1,G$3*Proyecciones!H$4,F16*Proyecciones!H$4))</f>
        <v>0</v>
      </c>
    </row>
    <row r="10" spans="2:7" ht="12.75">
      <c r="B10" s="5" t="s">
        <v>113</v>
      </c>
      <c r="C10" s="2">
        <f>SUM(C5:C9)</f>
        <v>0</v>
      </c>
      <c r="D10" s="2">
        <f>SUM(D5:D9)</f>
        <v>0</v>
      </c>
      <c r="E10" s="2">
        <f>SUM(E5:E9)</f>
        <v>0</v>
      </c>
      <c r="F10" s="2">
        <f>SUM(F5:F9)</f>
        <v>0</v>
      </c>
      <c r="G10" s="2">
        <f>SUM(G5:G9)</f>
        <v>0</v>
      </c>
    </row>
    <row r="11" spans="2:7" s="22" customFormat="1" ht="12.75">
      <c r="B11" s="17" t="s">
        <v>114</v>
      </c>
      <c r="C11" s="23"/>
      <c r="D11" s="23"/>
      <c r="E11" s="23"/>
      <c r="F11" s="23"/>
      <c r="G11" s="23"/>
    </row>
    <row r="12" spans="1:7" ht="12.75">
      <c r="A12" s="5">
        <v>1</v>
      </c>
      <c r="B12" s="21" t="s">
        <v>108</v>
      </c>
      <c r="C12" s="2">
        <f aca="true" t="shared" si="0" ref="C12:G16">IF($A12&gt;C$1,0,IF($A12=C$1,C$3+C5,B12+C5))</f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</row>
    <row r="13" spans="1:7" ht="12.75">
      <c r="A13" s="5">
        <v>2</v>
      </c>
      <c r="B13" s="21" t="s">
        <v>109</v>
      </c>
      <c r="C13" s="2">
        <f t="shared" si="0"/>
        <v>0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</row>
    <row r="14" spans="1:7" ht="12.75">
      <c r="A14" s="5">
        <v>3</v>
      </c>
      <c r="B14" s="21" t="s">
        <v>110</v>
      </c>
      <c r="C14" s="2">
        <f t="shared" si="0"/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</row>
    <row r="15" spans="1:7" ht="12.75">
      <c r="A15" s="5">
        <v>4</v>
      </c>
      <c r="B15" s="21" t="s">
        <v>111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</row>
    <row r="16" spans="1:7" ht="12.75">
      <c r="A16" s="5">
        <v>5</v>
      </c>
      <c r="B16" s="21" t="s">
        <v>112</v>
      </c>
      <c r="C16" s="2">
        <f t="shared" si="0"/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</row>
    <row r="17" spans="2:7" ht="12.75">
      <c r="B17" s="5" t="s">
        <v>115</v>
      </c>
      <c r="C17" s="3">
        <f>SUM(C12:C16)</f>
        <v>0</v>
      </c>
      <c r="D17" s="3">
        <f>SUM(D12:D16)</f>
        <v>0</v>
      </c>
      <c r="E17" s="3">
        <f>SUM(E12:E16)</f>
        <v>0</v>
      </c>
      <c r="F17" s="3">
        <f>SUM(F12:F16)</f>
        <v>0</v>
      </c>
      <c r="G17" s="3">
        <f>SUM(G12:G16)</f>
        <v>0</v>
      </c>
    </row>
    <row r="18" spans="2:7" s="22" customFormat="1" ht="13.5" customHeight="1">
      <c r="B18" s="17" t="s">
        <v>22</v>
      </c>
      <c r="C18" s="23"/>
      <c r="D18" s="23"/>
      <c r="E18" s="23"/>
      <c r="F18" s="23"/>
      <c r="G18" s="23"/>
    </row>
    <row r="19" spans="1:7" ht="12.75">
      <c r="A19" s="5">
        <v>1</v>
      </c>
      <c r="B19" s="21" t="s">
        <v>108</v>
      </c>
      <c r="C19" s="2">
        <f>IF(OR($A19&gt;C$1,Bases!$B$13+$A19-1&lt;C$1),0,C12/Bases!$B$13)</f>
        <v>0</v>
      </c>
      <c r="D19" s="2">
        <f>IF(OR($A19&gt;D$1,Bases!$B$13+$A19-1&lt;D$1),0,D12/Bases!$B$13)</f>
        <v>0</v>
      </c>
      <c r="E19" s="2">
        <f>IF(OR($A19&gt;E$1,Bases!$B$13+$A19-1&lt;E$1),0,E12/Bases!$B$13)</f>
        <v>0</v>
      </c>
      <c r="F19" s="2">
        <f>IF(OR($A19&gt;F$1,Bases!$B$13+$A19-1&lt;F$1),0,F12/Bases!$B$13)</f>
        <v>0</v>
      </c>
      <c r="G19" s="2">
        <f>IF(OR($A19&gt;G$1,Bases!$B$13+$A19-1&lt;G$1),0,G12/Bases!$B$13)</f>
        <v>0</v>
      </c>
    </row>
    <row r="20" spans="1:7" ht="12.75">
      <c r="A20" s="5">
        <v>2</v>
      </c>
      <c r="B20" s="21" t="s">
        <v>109</v>
      </c>
      <c r="C20" s="2">
        <f>IF(OR($A20&gt;C$1,Bases!$B$13+$A20-1&lt;C$1),0,C13/Bases!$B$13)</f>
        <v>0</v>
      </c>
      <c r="D20" s="2">
        <f>IF(OR($A20&gt;D$1,Bases!$B$13+$A20-1&lt;D$1),0,D13/Bases!$B$13)</f>
        <v>0</v>
      </c>
      <c r="E20" s="2">
        <f>IF(OR($A20&gt;E$1,Bases!$B$13+$A20-1&lt;E$1),0,E13/Bases!$B$13)</f>
        <v>0</v>
      </c>
      <c r="F20" s="2">
        <f>IF(OR($A20&gt;F$1,Bases!$B$13+$A20-1&lt;F$1),0,F13/Bases!$B$13)</f>
        <v>0</v>
      </c>
      <c r="G20" s="2">
        <f>IF(OR($A20&gt;G$1,Bases!$B$13+$A20-1&lt;G$1),0,G13/Bases!$B$13)</f>
        <v>0</v>
      </c>
    </row>
    <row r="21" spans="1:7" ht="12.75">
      <c r="A21" s="5">
        <v>3</v>
      </c>
      <c r="B21" s="21" t="s">
        <v>110</v>
      </c>
      <c r="C21" s="2">
        <f>IF(OR($A21&gt;C$1,Bases!$B$13+$A21-1&lt;C$1),0,C14/Bases!$B$13)</f>
        <v>0</v>
      </c>
      <c r="D21" s="2">
        <f>IF(OR($A21&gt;D$1,Bases!$B$13+$A21-1&lt;D$1),0,D14/Bases!$B$13)</f>
        <v>0</v>
      </c>
      <c r="E21" s="2">
        <f>IF(OR($A21&gt;E$1,Bases!$B$13+$A21-1&lt;E$1),0,E14/Bases!$B$13)</f>
        <v>0</v>
      </c>
      <c r="F21" s="2">
        <f>IF(OR($A21&gt;F$1,Bases!$B$13+$A21-1&lt;F$1),0,F14/Bases!$B$13)</f>
        <v>0</v>
      </c>
      <c r="G21" s="2">
        <f>IF(OR($A21&gt;G$1,Bases!$B$13+$A21-1&lt;G$1),0,G14/Bases!$B$13)</f>
        <v>0</v>
      </c>
    </row>
    <row r="22" spans="1:7" ht="12.75">
      <c r="A22" s="5">
        <v>4</v>
      </c>
      <c r="B22" s="21" t="s">
        <v>111</v>
      </c>
      <c r="C22" s="2">
        <f>IF(OR($A22&gt;C$1,Bases!$B$13+$A22-1&lt;C$1),0,C15/Bases!$B$13)</f>
        <v>0</v>
      </c>
      <c r="D22" s="2">
        <f>IF(OR($A22&gt;D$1,Bases!$B$13+$A22-1&lt;D$1),0,D15/Bases!$B$13)</f>
        <v>0</v>
      </c>
      <c r="E22" s="2">
        <f>IF(OR($A22&gt;E$1,Bases!$B$13+$A22-1&lt;E$1),0,E15/Bases!$B$13)</f>
        <v>0</v>
      </c>
      <c r="F22" s="2">
        <f>IF(OR($A22&gt;F$1,Bases!$B$13+$A22-1&lt;F$1),0,F15/Bases!$B$13)</f>
        <v>0</v>
      </c>
      <c r="G22" s="2">
        <f>IF(OR($A22&gt;G$1,Bases!$B$13+$A22-1&lt;G$1),0,G15/Bases!$B$13)</f>
        <v>0</v>
      </c>
    </row>
    <row r="23" spans="1:7" ht="12.75">
      <c r="A23" s="5">
        <v>5</v>
      </c>
      <c r="B23" s="21" t="s">
        <v>112</v>
      </c>
      <c r="C23" s="2">
        <f>IF(OR($A23&gt;C$1,Bases!$B$13+$A23-1&lt;C$1),0,C16/Bases!$B$13)</f>
        <v>0</v>
      </c>
      <c r="D23" s="2">
        <f>IF(OR($A23&gt;D$1,Bases!$B$13+$A23-1&lt;D$1),0,D16/Bases!$B$13)</f>
        <v>0</v>
      </c>
      <c r="E23" s="2">
        <f>IF(OR($A23&gt;E$1,Bases!$B$13+$A23-1&lt;E$1),0,E16/Bases!$B$13)</f>
        <v>0</v>
      </c>
      <c r="F23" s="2">
        <f>IF(OR($A23&gt;F$1,Bases!$B$13+$A23-1&lt;F$1),0,F16/Bases!$B$13)</f>
        <v>0</v>
      </c>
      <c r="G23" s="2">
        <f>IF(OR($A23&gt;G$1,Bases!$B$13+$A23-1&lt;G$1),0,G16/Bases!$B$13)</f>
        <v>0</v>
      </c>
    </row>
    <row r="24" spans="2:7" ht="12.75">
      <c r="B24" s="5" t="s">
        <v>116</v>
      </c>
      <c r="C24" s="3">
        <f>SUM(C19:C23)</f>
        <v>0</v>
      </c>
      <c r="D24" s="3">
        <f>SUM(D19:D23)</f>
        <v>0</v>
      </c>
      <c r="E24" s="3">
        <f>SUM(E19:E23)</f>
        <v>0</v>
      </c>
      <c r="F24" s="3">
        <f>SUM(F19:F23)</f>
        <v>0</v>
      </c>
      <c r="G24" s="3">
        <f>SUM(G19:G23)</f>
        <v>0</v>
      </c>
    </row>
    <row r="25" spans="2:7" s="22" customFormat="1" ht="13.5" customHeight="1">
      <c r="B25" s="17" t="s">
        <v>117</v>
      </c>
      <c r="C25" s="23"/>
      <c r="D25" s="23"/>
      <c r="E25" s="23"/>
      <c r="F25" s="23"/>
      <c r="G25" s="23"/>
    </row>
    <row r="26" spans="1:7" ht="12.75">
      <c r="A26" s="5">
        <v>1</v>
      </c>
      <c r="B26" s="24" t="s">
        <v>108</v>
      </c>
      <c r="C26" s="2">
        <f>IF($A26&gt;=C$1,0,B33*Proyecciones!D$4)</f>
        <v>0</v>
      </c>
      <c r="D26" s="2">
        <f>IF($A26&gt;=D$1,0,C33*Proyecciones!E$4)</f>
        <v>0</v>
      </c>
      <c r="E26" s="2">
        <f>IF($A26&gt;=E$1,0,D33*Proyecciones!F$4)</f>
        <v>0</v>
      </c>
      <c r="F26" s="2">
        <f>IF($A26&gt;=F$1,0,E33*Proyecciones!G$4)</f>
        <v>0</v>
      </c>
      <c r="G26" s="2">
        <f>IF($A26&gt;=G$1,0,F33*Proyecciones!H$4)</f>
        <v>0</v>
      </c>
    </row>
    <row r="27" spans="1:7" ht="12.75">
      <c r="A27" s="5">
        <v>2</v>
      </c>
      <c r="B27" s="24" t="s">
        <v>109</v>
      </c>
      <c r="C27" s="2">
        <f>IF($A27&gt;=C$1,0,B34*Proyecciones!D$4)</f>
        <v>0</v>
      </c>
      <c r="D27" s="2">
        <f>IF($A27&gt;=D$1,0,C34*Proyecciones!E$4)</f>
        <v>0</v>
      </c>
      <c r="E27" s="2">
        <f>IF($A27&gt;=E$1,0,D34*Proyecciones!F$4)</f>
        <v>0</v>
      </c>
      <c r="F27" s="2">
        <f>IF($A27&gt;=F$1,0,E34*Proyecciones!G$4)</f>
        <v>0</v>
      </c>
      <c r="G27" s="2">
        <f>IF($A27&gt;=G$1,0,F34*Proyecciones!H$4)</f>
        <v>0</v>
      </c>
    </row>
    <row r="28" spans="1:7" ht="12.75">
      <c r="A28" s="5">
        <v>3</v>
      </c>
      <c r="B28" s="24" t="s">
        <v>110</v>
      </c>
      <c r="C28" s="2">
        <f>IF($A28&gt;=C$1,0,B35*Proyecciones!D$4)</f>
        <v>0</v>
      </c>
      <c r="D28" s="2">
        <f>IF($A28&gt;=D$1,0,C35*Proyecciones!E$4)</f>
        <v>0</v>
      </c>
      <c r="E28" s="2">
        <f>IF($A28&gt;=E$1,0,D35*Proyecciones!F$4)</f>
        <v>0</v>
      </c>
      <c r="F28" s="2">
        <f>IF($A28&gt;=F$1,0,E35*Proyecciones!G$4)</f>
        <v>0</v>
      </c>
      <c r="G28" s="2">
        <f>IF($A28&gt;=G$1,0,F35*Proyecciones!H$4)</f>
        <v>0</v>
      </c>
    </row>
    <row r="29" spans="1:7" ht="12.75">
      <c r="A29" s="5">
        <v>4</v>
      </c>
      <c r="B29" s="24" t="s">
        <v>111</v>
      </c>
      <c r="C29" s="2">
        <f>IF($A29&gt;=C$1,0,B36*Proyecciones!D$4)</f>
        <v>0</v>
      </c>
      <c r="D29" s="2">
        <f>IF($A29&gt;=D$1,0,C36*Proyecciones!E$4)</f>
        <v>0</v>
      </c>
      <c r="E29" s="2">
        <f>IF($A29&gt;=E$1,0,D36*Proyecciones!F$4)</f>
        <v>0</v>
      </c>
      <c r="F29" s="2">
        <f>IF($A29&gt;=F$1,0,E36*Proyecciones!G$4)</f>
        <v>0</v>
      </c>
      <c r="G29" s="2">
        <f>IF($A29&gt;=G$1,0,F36*Proyecciones!H$4)</f>
        <v>0</v>
      </c>
    </row>
    <row r="30" spans="1:7" ht="12.75">
      <c r="A30" s="5">
        <v>5</v>
      </c>
      <c r="B30" s="24" t="s">
        <v>112</v>
      </c>
      <c r="C30" s="2">
        <f>IF($A30&gt;=C$1,0,B37*Proyecciones!D$4)</f>
        <v>0</v>
      </c>
      <c r="D30" s="2">
        <f>IF($A30&gt;=D$1,0,C37*Proyecciones!E$4)</f>
        <v>0</v>
      </c>
      <c r="E30" s="2">
        <f>IF($A30&gt;=E$1,0,D37*Proyecciones!F$4)</f>
        <v>0</v>
      </c>
      <c r="F30" s="2">
        <f>IF($A30&gt;=F$1,0,E37*Proyecciones!G$4)</f>
        <v>0</v>
      </c>
      <c r="G30" s="2">
        <f>IF($A30&gt;=G$1,0,F37*Proyecciones!H$4)</f>
        <v>0</v>
      </c>
    </row>
    <row r="31" spans="2:7" ht="12.75">
      <c r="B31" s="7" t="s">
        <v>118</v>
      </c>
      <c r="C31" s="2">
        <f>SUM(C26:C30)</f>
        <v>0</v>
      </c>
      <c r="D31" s="2">
        <f>SUM(D26:D30)</f>
        <v>0</v>
      </c>
      <c r="E31" s="2">
        <f>SUM(E26:E30)</f>
        <v>0</v>
      </c>
      <c r="F31" s="2">
        <f>SUM(F26:F30)</f>
        <v>0</v>
      </c>
      <c r="G31" s="2">
        <f>SUM(G26:G30)</f>
        <v>0</v>
      </c>
    </row>
    <row r="32" spans="2:7" s="22" customFormat="1" ht="13.5" customHeight="1">
      <c r="B32" s="17" t="s">
        <v>119</v>
      </c>
      <c r="C32" s="23"/>
      <c r="D32" s="23"/>
      <c r="E32" s="23"/>
      <c r="F32" s="23"/>
      <c r="G32" s="23"/>
    </row>
    <row r="33" spans="1:8" ht="12.75">
      <c r="A33" s="5">
        <v>1</v>
      </c>
      <c r="B33" s="21" t="s">
        <v>108</v>
      </c>
      <c r="C33" s="3">
        <f aca="true" t="shared" si="1" ref="C33:G37">IF($A33&gt;C$1,0,IF($A33=C$1,C19,B33+C19+C26))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25"/>
    </row>
    <row r="34" spans="1:7" ht="12.75">
      <c r="A34" s="5">
        <v>2</v>
      </c>
      <c r="B34" s="21" t="s">
        <v>109</v>
      </c>
      <c r="C34" s="3">
        <f t="shared" si="1"/>
        <v>0</v>
      </c>
      <c r="D34" s="3">
        <f t="shared" si="1"/>
        <v>0</v>
      </c>
      <c r="E34" s="3">
        <f t="shared" si="1"/>
        <v>0</v>
      </c>
      <c r="F34" s="3">
        <f t="shared" si="1"/>
        <v>0</v>
      </c>
      <c r="G34" s="3">
        <f t="shared" si="1"/>
        <v>0</v>
      </c>
    </row>
    <row r="35" spans="1:7" ht="12.75">
      <c r="A35" s="5">
        <v>3</v>
      </c>
      <c r="B35" s="21" t="s">
        <v>110</v>
      </c>
      <c r="C35" s="3">
        <f t="shared" si="1"/>
        <v>0</v>
      </c>
      <c r="D35" s="3">
        <f t="shared" si="1"/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</row>
    <row r="36" spans="1:7" ht="12.75">
      <c r="A36" s="5">
        <v>4</v>
      </c>
      <c r="B36" s="21" t="s">
        <v>111</v>
      </c>
      <c r="C36" s="3">
        <f t="shared" si="1"/>
        <v>0</v>
      </c>
      <c r="D36" s="3">
        <f t="shared" si="1"/>
        <v>0</v>
      </c>
      <c r="E36" s="3">
        <f t="shared" si="1"/>
        <v>0</v>
      </c>
      <c r="F36" s="3">
        <f t="shared" si="1"/>
        <v>0</v>
      </c>
      <c r="G36" s="3">
        <f t="shared" si="1"/>
        <v>0</v>
      </c>
    </row>
    <row r="37" spans="1:7" ht="12.75">
      <c r="A37" s="5">
        <v>5</v>
      </c>
      <c r="B37" s="21" t="s">
        <v>112</v>
      </c>
      <c r="C37" s="3">
        <f t="shared" si="1"/>
        <v>0</v>
      </c>
      <c r="D37" s="3">
        <f t="shared" si="1"/>
        <v>0</v>
      </c>
      <c r="E37" s="3">
        <f t="shared" si="1"/>
        <v>0</v>
      </c>
      <c r="F37" s="3">
        <f t="shared" si="1"/>
        <v>0</v>
      </c>
      <c r="G37" s="3">
        <f t="shared" si="1"/>
        <v>0</v>
      </c>
    </row>
    <row r="38" spans="2:7" ht="12.75">
      <c r="B38" s="5" t="s">
        <v>120</v>
      </c>
      <c r="C38" s="3">
        <f>SUM(C33:C37)</f>
        <v>0</v>
      </c>
      <c r="D38" s="3">
        <f>SUM(D33:D37)</f>
        <v>0</v>
      </c>
      <c r="E38" s="3">
        <f>SUM(E33:E37)</f>
        <v>0</v>
      </c>
      <c r="F38" s="3">
        <f>SUM(F33:F37)</f>
        <v>0</v>
      </c>
      <c r="G38" s="3">
        <f>SUM(G33:G37)</f>
        <v>0</v>
      </c>
    </row>
  </sheetData>
  <sheetProtection/>
  <printOptions gridLines="1" horizontalCentered="1" verticalCentered="1"/>
  <pageMargins left="0.1968503937007874" right="0.1968503937007874" top="0.984251968503937" bottom="0.3937007874015748" header="0.5905511811023623" footer="0.5118110236220472"/>
  <pageSetup horizontalDpi="300" verticalDpi="300" orientation="landscape" scale="85" r:id="rId1"/>
  <headerFooter alignWithMargins="0">
    <oddHeader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>
    <tabColor indexed="30"/>
  </sheetPr>
  <dimension ref="A1:H38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11.421875" defaultRowHeight="12.75"/>
  <cols>
    <col min="1" max="1" width="2.7109375" style="8" customWidth="1"/>
    <col min="2" max="2" width="35.421875" style="1" customWidth="1"/>
    <col min="3" max="4" width="19.28125" style="1" customWidth="1"/>
    <col min="5" max="7" width="18.28125" style="1" customWidth="1"/>
    <col min="8" max="8" width="15.28125" style="8" customWidth="1"/>
    <col min="9" max="16384" width="11.421875" style="8" customWidth="1"/>
  </cols>
  <sheetData>
    <row r="1" spans="2:7" ht="12.75">
      <c r="B1" s="10"/>
      <c r="C1" s="11">
        <v>1</v>
      </c>
      <c r="D1" s="11">
        <v>2</v>
      </c>
      <c r="E1" s="11">
        <v>3</v>
      </c>
      <c r="F1" s="11">
        <v>4</v>
      </c>
      <c r="G1" s="11">
        <v>5</v>
      </c>
    </row>
    <row r="2" spans="2:7" ht="12.75">
      <c r="B2" s="12" t="s">
        <v>107</v>
      </c>
      <c r="C2" s="13"/>
      <c r="D2" s="13"/>
      <c r="E2" s="13"/>
      <c r="F2" s="13"/>
      <c r="G2" s="13"/>
    </row>
    <row r="3" spans="2:7" ht="12.75">
      <c r="B3" s="26" t="s">
        <v>193</v>
      </c>
      <c r="C3" s="6">
        <f>Proyecciones!D167</f>
        <v>0</v>
      </c>
      <c r="D3" s="6">
        <f>Proyecciones!E167</f>
        <v>0</v>
      </c>
      <c r="E3" s="6">
        <f>Proyecciones!F167</f>
        <v>0</v>
      </c>
      <c r="F3" s="6">
        <f>Proyecciones!G167</f>
        <v>0</v>
      </c>
      <c r="G3" s="6">
        <f>Proyecciones!H167</f>
        <v>0</v>
      </c>
    </row>
    <row r="4" spans="2:7" s="9" customFormat="1" ht="12.75">
      <c r="B4" s="17" t="s">
        <v>14</v>
      </c>
      <c r="C4" s="20"/>
      <c r="D4" s="20"/>
      <c r="E4" s="20"/>
      <c r="F4" s="20"/>
      <c r="G4" s="20"/>
    </row>
    <row r="5" spans="1:7" ht="12.75">
      <c r="A5" s="5">
        <v>1</v>
      </c>
      <c r="B5" s="21" t="s">
        <v>108</v>
      </c>
      <c r="C5" s="2">
        <f>IF($A5&gt;C$1,0,IF($A5=C$1,C$3*Proyecciones!D$4,B12*Proyecciones!D$4))</f>
        <v>0</v>
      </c>
      <c r="D5" s="2">
        <f>IF($A5&gt;D$1,0,IF($A5=D$1,D$3*Proyecciones!E$4,C12*Proyecciones!E$4))</f>
        <v>0</v>
      </c>
      <c r="E5" s="2">
        <f>IF($A5&gt;E$1,0,IF($A5=E$1,E$3*Proyecciones!F$4,D12*Proyecciones!F$4))</f>
        <v>0</v>
      </c>
      <c r="F5" s="2">
        <f>IF($A5&gt;F$1,0,IF($A5=F$1,F$3*Proyecciones!G$4,E12*Proyecciones!G$4))</f>
        <v>0</v>
      </c>
      <c r="G5" s="2">
        <f>IF($A5&gt;G$1,0,IF($A5=G$1,G$3*Proyecciones!H$4,F12*Proyecciones!H$4))</f>
        <v>0</v>
      </c>
    </row>
    <row r="6" spans="1:7" ht="12.75">
      <c r="A6" s="5">
        <v>2</v>
      </c>
      <c r="B6" s="21" t="s">
        <v>109</v>
      </c>
      <c r="C6" s="2">
        <f>IF($A6&gt;C$1,0,IF($A6=C$1,C$3*Proyecciones!D$4,B13*Proyecciones!D$4))</f>
        <v>0</v>
      </c>
      <c r="D6" s="2">
        <f>IF($A6&gt;D$1,0,IF($A6=D$1,D$3*Proyecciones!E$4,C13*Proyecciones!E$4))</f>
        <v>0</v>
      </c>
      <c r="E6" s="2">
        <f>IF($A6&gt;E$1,0,IF($A6=E$1,E$3*Proyecciones!F$4,D13*Proyecciones!F$4))</f>
        <v>0</v>
      </c>
      <c r="F6" s="2">
        <f>IF($A6&gt;F$1,0,IF($A6=F$1,F$3*Proyecciones!G$4,E13*Proyecciones!G$4))</f>
        <v>0</v>
      </c>
      <c r="G6" s="2">
        <f>IF($A6&gt;G$1,0,IF($A6=G$1,G$3*Proyecciones!H$4,F13*Proyecciones!H$4))</f>
        <v>0</v>
      </c>
    </row>
    <row r="7" spans="1:7" ht="12.75">
      <c r="A7" s="5">
        <v>3</v>
      </c>
      <c r="B7" s="21" t="s">
        <v>110</v>
      </c>
      <c r="C7" s="2">
        <f>IF($A7&gt;C$1,0,IF($A7=C$1,C$3*Proyecciones!D$4,B14*Proyecciones!D$4))</f>
        <v>0</v>
      </c>
      <c r="D7" s="2">
        <f>IF($A7&gt;D$1,0,IF($A7=D$1,D$3*Proyecciones!E$4,C14*Proyecciones!E$4))</f>
        <v>0</v>
      </c>
      <c r="E7" s="2">
        <f>IF($A7&gt;E$1,0,IF($A7=E$1,E$3*Proyecciones!F$4,D14*Proyecciones!F$4))</f>
        <v>0</v>
      </c>
      <c r="F7" s="2">
        <f>IF($A7&gt;F$1,0,IF($A7=F$1,F$3*Proyecciones!G$4,E14*Proyecciones!G$4))</f>
        <v>0</v>
      </c>
      <c r="G7" s="2">
        <f>IF($A7&gt;G$1,0,IF($A7=G$1,G$3*Proyecciones!H$4,F14*Proyecciones!H$4))</f>
        <v>0</v>
      </c>
    </row>
    <row r="8" spans="1:7" ht="12.75">
      <c r="A8" s="5">
        <v>4</v>
      </c>
      <c r="B8" s="21" t="s">
        <v>111</v>
      </c>
      <c r="C8" s="2">
        <f>IF($A8&gt;C$1,0,IF($A8=C$1,C$3*Proyecciones!D$4,B15*Proyecciones!D$4))</f>
        <v>0</v>
      </c>
      <c r="D8" s="2">
        <f>IF($A8&gt;D$1,0,IF($A8=D$1,D$3*Proyecciones!E$4,C15*Proyecciones!E$4))</f>
        <v>0</v>
      </c>
      <c r="E8" s="2">
        <f>IF($A8&gt;E$1,0,IF($A8=E$1,E$3*Proyecciones!F$4,D15*Proyecciones!F$4))</f>
        <v>0</v>
      </c>
      <c r="F8" s="2">
        <f>IF($A8&gt;F$1,0,IF($A8=F$1,F$3*Proyecciones!G$4,E15*Proyecciones!G$4))</f>
        <v>0</v>
      </c>
      <c r="G8" s="2">
        <f>IF($A8&gt;G$1,0,IF($A8=G$1,G$3*Proyecciones!H$4,F15*Proyecciones!H$4))</f>
        <v>0</v>
      </c>
    </row>
    <row r="9" spans="1:7" ht="12.75">
      <c r="A9" s="5">
        <v>5</v>
      </c>
      <c r="B9" s="21" t="s">
        <v>112</v>
      </c>
      <c r="C9" s="2">
        <f>IF($A9&gt;C$1,0,IF($A9=C$1,C$3*Proyecciones!D$4,B16*Proyecciones!D$4))</f>
        <v>0</v>
      </c>
      <c r="D9" s="2">
        <f>IF($A9&gt;D$1,0,IF($A9=D$1,D$3*Proyecciones!E$4,C16*Proyecciones!E$4))</f>
        <v>0</v>
      </c>
      <c r="E9" s="2">
        <f>IF($A9&gt;E$1,0,IF($A9=E$1,E$3*Proyecciones!F$4,D16*Proyecciones!F$4))</f>
        <v>0</v>
      </c>
      <c r="F9" s="2">
        <f>IF($A9&gt;F$1,0,IF($A9=F$1,F$3*Proyecciones!G$4,E16*Proyecciones!G$4))</f>
        <v>0</v>
      </c>
      <c r="G9" s="2">
        <f>IF($A9&gt;G$1,0,IF($A9=G$1,G$3*Proyecciones!H$4,F16*Proyecciones!H$4))</f>
        <v>0</v>
      </c>
    </row>
    <row r="10" spans="2:7" ht="12.75">
      <c r="B10" s="5" t="s">
        <v>113</v>
      </c>
      <c r="C10" s="2">
        <f>SUM(C5:C9)</f>
        <v>0</v>
      </c>
      <c r="D10" s="2">
        <f>SUM(D5:D9)</f>
        <v>0</v>
      </c>
      <c r="E10" s="2">
        <f>SUM(E5:E9)</f>
        <v>0</v>
      </c>
      <c r="F10" s="2">
        <f>SUM(F5:F9)</f>
        <v>0</v>
      </c>
      <c r="G10" s="2">
        <f>SUM(G5:G9)</f>
        <v>0</v>
      </c>
    </row>
    <row r="11" spans="2:7" s="22" customFormat="1" ht="12.75">
      <c r="B11" s="17" t="s">
        <v>114</v>
      </c>
      <c r="C11" s="23"/>
      <c r="D11" s="23"/>
      <c r="E11" s="23"/>
      <c r="F11" s="23"/>
      <c r="G11" s="23"/>
    </row>
    <row r="12" spans="1:7" ht="12.75">
      <c r="A12" s="5">
        <v>1</v>
      </c>
      <c r="B12" s="21" t="s">
        <v>108</v>
      </c>
      <c r="C12" s="2">
        <f aca="true" t="shared" si="0" ref="C12:G16">IF($A12&gt;C$1,0,IF($A12=C$1,C$3+C5,B12+C5))</f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</row>
    <row r="13" spans="1:7" ht="12.75">
      <c r="A13" s="5">
        <v>2</v>
      </c>
      <c r="B13" s="21" t="s">
        <v>109</v>
      </c>
      <c r="C13" s="2">
        <f t="shared" si="0"/>
        <v>0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</row>
    <row r="14" spans="1:7" ht="12.75">
      <c r="A14" s="5">
        <v>3</v>
      </c>
      <c r="B14" s="21" t="s">
        <v>110</v>
      </c>
      <c r="C14" s="2">
        <f t="shared" si="0"/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</row>
    <row r="15" spans="1:7" ht="12.75">
      <c r="A15" s="5">
        <v>4</v>
      </c>
      <c r="B15" s="21" t="s">
        <v>111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</row>
    <row r="16" spans="1:7" ht="12.75">
      <c r="A16" s="5">
        <v>5</v>
      </c>
      <c r="B16" s="21" t="s">
        <v>112</v>
      </c>
      <c r="C16" s="2">
        <f t="shared" si="0"/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</row>
    <row r="17" spans="2:7" ht="12.75">
      <c r="B17" s="5" t="s">
        <v>115</v>
      </c>
      <c r="C17" s="3">
        <f>SUM(C12:C16)</f>
        <v>0</v>
      </c>
      <c r="D17" s="3">
        <f>SUM(D12:D16)</f>
        <v>0</v>
      </c>
      <c r="E17" s="3">
        <f>SUM(E12:E16)</f>
        <v>0</v>
      </c>
      <c r="F17" s="3">
        <f>SUM(F12:F16)</f>
        <v>0</v>
      </c>
      <c r="G17" s="3">
        <f>SUM(G12:G16)</f>
        <v>0</v>
      </c>
    </row>
    <row r="18" spans="2:7" s="22" customFormat="1" ht="13.5" customHeight="1">
      <c r="B18" s="17" t="s">
        <v>22</v>
      </c>
      <c r="C18" s="23"/>
      <c r="D18" s="23"/>
      <c r="E18" s="23"/>
      <c r="F18" s="23"/>
      <c r="G18" s="23"/>
    </row>
    <row r="19" spans="1:7" ht="12.75">
      <c r="A19" s="5">
        <v>1</v>
      </c>
      <c r="B19" s="21" t="s">
        <v>108</v>
      </c>
      <c r="C19" s="2">
        <f>IF(OR($A19&gt;C$1,Bases!$B$14+$A19-1&lt;C$1),0,C12/Bases!$B$14)</f>
        <v>0</v>
      </c>
      <c r="D19" s="2">
        <f>IF(OR($A19&gt;D$1,Bases!$B$14+$A19-1&lt;D$1),0,D12/Bases!$B$14)</f>
        <v>0</v>
      </c>
      <c r="E19" s="2">
        <f>IF(OR($A19&gt;E$1,Bases!$B$14+$A19-1&lt;E$1),0,E12/Bases!$B$14)</f>
        <v>0</v>
      </c>
      <c r="F19" s="2">
        <f>IF(OR($A19&gt;F$1,Bases!$B$14+$A19-1&lt;F$1),0,F12/Bases!$B$14)</f>
        <v>0</v>
      </c>
      <c r="G19" s="2">
        <f>IF(OR($A19&gt;G$1,Bases!$B$14+$A19-1&lt;G$1),0,G12/Bases!$B$14)</f>
        <v>0</v>
      </c>
    </row>
    <row r="20" spans="1:7" ht="12.75">
      <c r="A20" s="5">
        <v>2</v>
      </c>
      <c r="B20" s="21" t="s">
        <v>109</v>
      </c>
      <c r="C20" s="2">
        <f>IF(OR($A20&gt;C$1,Bases!$B$14+$A20-1&lt;C$1),0,C13/Bases!$B$14)</f>
        <v>0</v>
      </c>
      <c r="D20" s="2">
        <f>IF(OR($A20&gt;D$1,Bases!$B$14+$A20-1&lt;D$1),0,D13/Bases!$B$14)</f>
        <v>0</v>
      </c>
      <c r="E20" s="2">
        <f>IF(OR($A20&gt;E$1,Bases!$B$14+$A20-1&lt;E$1),0,E13/Bases!$B$14)</f>
        <v>0</v>
      </c>
      <c r="F20" s="2">
        <f>IF(OR($A20&gt;F$1,Bases!$B$14+$A20-1&lt;F$1),0,F13/Bases!$B$14)</f>
        <v>0</v>
      </c>
      <c r="G20" s="2">
        <f>IF(OR($A20&gt;G$1,Bases!$B$14+$A20-1&lt;G$1),0,G13/Bases!$B$14)</f>
        <v>0</v>
      </c>
    </row>
    <row r="21" spans="1:7" ht="12.75">
      <c r="A21" s="5">
        <v>3</v>
      </c>
      <c r="B21" s="21" t="s">
        <v>110</v>
      </c>
      <c r="C21" s="2">
        <f>IF(OR($A21&gt;C$1,Bases!$B$14+$A21-1&lt;C$1),0,C14/Bases!$B$14)</f>
        <v>0</v>
      </c>
      <c r="D21" s="2">
        <f>IF(OR($A21&gt;D$1,Bases!$B$14+$A21-1&lt;D$1),0,D14/Bases!$B$14)</f>
        <v>0</v>
      </c>
      <c r="E21" s="2">
        <f>IF(OR($A21&gt;E$1,Bases!$B$14+$A21-1&lt;E$1),0,E14/Bases!$B$14)</f>
        <v>0</v>
      </c>
      <c r="F21" s="2">
        <f>IF(OR($A21&gt;F$1,Bases!$B$14+$A21-1&lt;F$1),0,F14/Bases!$B$14)</f>
        <v>0</v>
      </c>
      <c r="G21" s="2">
        <f>IF(OR($A21&gt;G$1,Bases!$B$14+$A21-1&lt;G$1),0,G14/Bases!$B$14)</f>
        <v>0</v>
      </c>
    </row>
    <row r="22" spans="1:7" ht="12.75">
      <c r="A22" s="5">
        <v>4</v>
      </c>
      <c r="B22" s="21" t="s">
        <v>111</v>
      </c>
      <c r="C22" s="2">
        <f>IF(OR($A22&gt;C$1,Bases!$B$14+$A22-1&lt;C$1),0,C15/Bases!$B$14)</f>
        <v>0</v>
      </c>
      <c r="D22" s="2">
        <f>IF(OR($A22&gt;D$1,Bases!$B$14+$A22-1&lt;D$1),0,D15/Bases!$B$14)</f>
        <v>0</v>
      </c>
      <c r="E22" s="2">
        <f>IF(OR($A22&gt;E$1,Bases!$B$14+$A22-1&lt;E$1),0,E15/Bases!$B$14)</f>
        <v>0</v>
      </c>
      <c r="F22" s="2">
        <f>IF(OR($A22&gt;F$1,Bases!$B$14+$A22-1&lt;F$1),0,F15/Bases!$B$14)</f>
        <v>0</v>
      </c>
      <c r="G22" s="2">
        <f>IF(OR($A22&gt;G$1,Bases!$B$14+$A22-1&lt;G$1),0,G15/Bases!$B$14)</f>
        <v>0</v>
      </c>
    </row>
    <row r="23" spans="1:7" ht="12.75">
      <c r="A23" s="5">
        <v>5</v>
      </c>
      <c r="B23" s="21" t="s">
        <v>112</v>
      </c>
      <c r="C23" s="2">
        <f>IF(OR($A23&gt;C$1,Bases!$B$14+$A23-1&lt;C$1),0,C16/Bases!$B$14)</f>
        <v>0</v>
      </c>
      <c r="D23" s="2">
        <f>IF(OR($A23&gt;D$1,Bases!$B$14+$A23-1&lt;D$1),0,D16/Bases!$B$14)</f>
        <v>0</v>
      </c>
      <c r="E23" s="2">
        <f>IF(OR($A23&gt;E$1,Bases!$B$14+$A23-1&lt;E$1),0,E16/Bases!$B$14)</f>
        <v>0</v>
      </c>
      <c r="F23" s="2">
        <f>IF(OR($A23&gt;F$1,Bases!$B$14+$A23-1&lt;F$1),0,F16/Bases!$B$14)</f>
        <v>0</v>
      </c>
      <c r="G23" s="2">
        <f>IF(OR($A23&gt;G$1,Bases!$B$14+$A23-1&lt;G$1),0,G16/Bases!$B$14)</f>
        <v>0</v>
      </c>
    </row>
    <row r="24" spans="2:7" ht="12.75">
      <c r="B24" s="5" t="s">
        <v>116</v>
      </c>
      <c r="C24" s="3">
        <f>SUM(C19:C23)</f>
        <v>0</v>
      </c>
      <c r="D24" s="3">
        <f>SUM(D19:D23)</f>
        <v>0</v>
      </c>
      <c r="E24" s="3">
        <f>SUM(E19:E23)</f>
        <v>0</v>
      </c>
      <c r="F24" s="3">
        <f>SUM(F19:F23)</f>
        <v>0</v>
      </c>
      <c r="G24" s="3">
        <f>SUM(G19:G23)</f>
        <v>0</v>
      </c>
    </row>
    <row r="25" spans="2:7" s="22" customFormat="1" ht="13.5" customHeight="1">
      <c r="B25" s="17" t="s">
        <v>117</v>
      </c>
      <c r="C25" s="23"/>
      <c r="D25" s="23"/>
      <c r="E25" s="23"/>
      <c r="F25" s="23"/>
      <c r="G25" s="23"/>
    </row>
    <row r="26" spans="1:7" ht="12.75">
      <c r="A26" s="5">
        <v>1</v>
      </c>
      <c r="B26" s="24" t="s">
        <v>108</v>
      </c>
      <c r="C26" s="2">
        <f>IF($A26&gt;=C$1,0,B33*Proyecciones!D$4)</f>
        <v>0</v>
      </c>
      <c r="D26" s="2">
        <f>IF($A26&gt;=D$1,0,C33*Proyecciones!E$4)</f>
        <v>0</v>
      </c>
      <c r="E26" s="2">
        <f>IF($A26&gt;=E$1,0,D33*Proyecciones!F$4)</f>
        <v>0</v>
      </c>
      <c r="F26" s="2">
        <f>IF($A26&gt;=F$1,0,E33*Proyecciones!G$4)</f>
        <v>0</v>
      </c>
      <c r="G26" s="2">
        <f>IF($A26&gt;=G$1,0,F33*Proyecciones!H$4)</f>
        <v>0</v>
      </c>
    </row>
    <row r="27" spans="1:7" ht="12.75">
      <c r="A27" s="5">
        <v>2</v>
      </c>
      <c r="B27" s="24" t="s">
        <v>109</v>
      </c>
      <c r="C27" s="2">
        <f>IF($A27&gt;=C$1,0,B34*Proyecciones!D$4)</f>
        <v>0</v>
      </c>
      <c r="D27" s="2">
        <f>IF($A27&gt;=D$1,0,C34*Proyecciones!E$4)</f>
        <v>0</v>
      </c>
      <c r="E27" s="2">
        <f>IF($A27&gt;=E$1,0,D34*Proyecciones!F$4)</f>
        <v>0</v>
      </c>
      <c r="F27" s="2">
        <f>IF($A27&gt;=F$1,0,E34*Proyecciones!G$4)</f>
        <v>0</v>
      </c>
      <c r="G27" s="2">
        <f>IF($A27&gt;=G$1,0,F34*Proyecciones!H$4)</f>
        <v>0</v>
      </c>
    </row>
    <row r="28" spans="1:7" ht="12.75">
      <c r="A28" s="5">
        <v>3</v>
      </c>
      <c r="B28" s="24" t="s">
        <v>110</v>
      </c>
      <c r="C28" s="2">
        <f>IF($A28&gt;=C$1,0,B35*Proyecciones!D$4)</f>
        <v>0</v>
      </c>
      <c r="D28" s="2">
        <f>IF($A28&gt;=D$1,0,C35*Proyecciones!E$4)</f>
        <v>0</v>
      </c>
      <c r="E28" s="2">
        <f>IF($A28&gt;=E$1,0,D35*Proyecciones!F$4)</f>
        <v>0</v>
      </c>
      <c r="F28" s="2">
        <f>IF($A28&gt;=F$1,0,E35*Proyecciones!G$4)</f>
        <v>0</v>
      </c>
      <c r="G28" s="2">
        <f>IF($A28&gt;=G$1,0,F35*Proyecciones!H$4)</f>
        <v>0</v>
      </c>
    </row>
    <row r="29" spans="1:7" ht="12.75">
      <c r="A29" s="5">
        <v>4</v>
      </c>
      <c r="B29" s="24" t="s">
        <v>111</v>
      </c>
      <c r="C29" s="2">
        <f>IF($A29&gt;=C$1,0,B36*Proyecciones!D$4)</f>
        <v>0</v>
      </c>
      <c r="D29" s="2">
        <f>IF($A29&gt;=D$1,0,C36*Proyecciones!E$4)</f>
        <v>0</v>
      </c>
      <c r="E29" s="2">
        <f>IF($A29&gt;=E$1,0,D36*Proyecciones!F$4)</f>
        <v>0</v>
      </c>
      <c r="F29" s="2">
        <f>IF($A29&gt;=F$1,0,E36*Proyecciones!G$4)</f>
        <v>0</v>
      </c>
      <c r="G29" s="2">
        <f>IF($A29&gt;=G$1,0,F36*Proyecciones!H$4)</f>
        <v>0</v>
      </c>
    </row>
    <row r="30" spans="1:7" ht="12.75">
      <c r="A30" s="5">
        <v>5</v>
      </c>
      <c r="B30" s="24" t="s">
        <v>112</v>
      </c>
      <c r="C30" s="2">
        <f>IF($A30&gt;=C$1,0,B37*Proyecciones!D$4)</f>
        <v>0</v>
      </c>
      <c r="D30" s="2">
        <f>IF($A30&gt;=D$1,0,C37*Proyecciones!E$4)</f>
        <v>0</v>
      </c>
      <c r="E30" s="2">
        <f>IF($A30&gt;=E$1,0,D37*Proyecciones!F$4)</f>
        <v>0</v>
      </c>
      <c r="F30" s="2">
        <f>IF($A30&gt;=F$1,0,E37*Proyecciones!G$4)</f>
        <v>0</v>
      </c>
      <c r="G30" s="2">
        <f>IF($A30&gt;=G$1,0,F37*Proyecciones!H$4)</f>
        <v>0</v>
      </c>
    </row>
    <row r="31" spans="2:7" ht="12.75">
      <c r="B31" s="7" t="s">
        <v>118</v>
      </c>
      <c r="C31" s="2">
        <f>SUM(C26:C30)</f>
        <v>0</v>
      </c>
      <c r="D31" s="2">
        <f>SUM(D26:D30)</f>
        <v>0</v>
      </c>
      <c r="E31" s="2">
        <f>SUM(E26:E30)</f>
        <v>0</v>
      </c>
      <c r="F31" s="2">
        <f>SUM(F26:F30)</f>
        <v>0</v>
      </c>
      <c r="G31" s="2">
        <f>SUM(G26:G30)</f>
        <v>0</v>
      </c>
    </row>
    <row r="32" spans="2:7" s="22" customFormat="1" ht="13.5" customHeight="1">
      <c r="B32" s="17" t="s">
        <v>119</v>
      </c>
      <c r="C32" s="23"/>
      <c r="D32" s="23"/>
      <c r="E32" s="23"/>
      <c r="F32" s="23"/>
      <c r="G32" s="23"/>
    </row>
    <row r="33" spans="1:8" ht="12.75">
      <c r="A33" s="5">
        <v>1</v>
      </c>
      <c r="B33" s="21" t="s">
        <v>108</v>
      </c>
      <c r="C33" s="3">
        <f aca="true" t="shared" si="1" ref="C33:G37">IF($A33&gt;C$1,0,IF($A33=C$1,C19,B33+C19+C26))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25"/>
    </row>
    <row r="34" spans="1:7" ht="12.75">
      <c r="A34" s="5">
        <v>2</v>
      </c>
      <c r="B34" s="21" t="s">
        <v>109</v>
      </c>
      <c r="C34" s="3">
        <f t="shared" si="1"/>
        <v>0</v>
      </c>
      <c r="D34" s="3">
        <f t="shared" si="1"/>
        <v>0</v>
      </c>
      <c r="E34" s="3">
        <f t="shared" si="1"/>
        <v>0</v>
      </c>
      <c r="F34" s="3">
        <f t="shared" si="1"/>
        <v>0</v>
      </c>
      <c r="G34" s="3">
        <f t="shared" si="1"/>
        <v>0</v>
      </c>
    </row>
    <row r="35" spans="1:7" ht="12.75">
      <c r="A35" s="5">
        <v>3</v>
      </c>
      <c r="B35" s="21" t="s">
        <v>110</v>
      </c>
      <c r="C35" s="3">
        <f t="shared" si="1"/>
        <v>0</v>
      </c>
      <c r="D35" s="3">
        <f t="shared" si="1"/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</row>
    <row r="36" spans="1:7" ht="12.75">
      <c r="A36" s="5">
        <v>4</v>
      </c>
      <c r="B36" s="21" t="s">
        <v>111</v>
      </c>
      <c r="C36" s="3">
        <f t="shared" si="1"/>
        <v>0</v>
      </c>
      <c r="D36" s="3">
        <f t="shared" si="1"/>
        <v>0</v>
      </c>
      <c r="E36" s="3">
        <f t="shared" si="1"/>
        <v>0</v>
      </c>
      <c r="F36" s="3">
        <f t="shared" si="1"/>
        <v>0</v>
      </c>
      <c r="G36" s="3">
        <f t="shared" si="1"/>
        <v>0</v>
      </c>
    </row>
    <row r="37" spans="1:7" ht="12.75">
      <c r="A37" s="5">
        <v>5</v>
      </c>
      <c r="B37" s="21" t="s">
        <v>112</v>
      </c>
      <c r="C37" s="3">
        <f t="shared" si="1"/>
        <v>0</v>
      </c>
      <c r="D37" s="3">
        <f t="shared" si="1"/>
        <v>0</v>
      </c>
      <c r="E37" s="3">
        <f t="shared" si="1"/>
        <v>0</v>
      </c>
      <c r="F37" s="3">
        <f t="shared" si="1"/>
        <v>0</v>
      </c>
      <c r="G37" s="3">
        <f t="shared" si="1"/>
        <v>0</v>
      </c>
    </row>
    <row r="38" spans="2:7" ht="12.75">
      <c r="B38" s="5" t="s">
        <v>120</v>
      </c>
      <c r="C38" s="3">
        <f>SUM(C33:C37)</f>
        <v>0</v>
      </c>
      <c r="D38" s="3">
        <f>SUM(D33:D37)</f>
        <v>0</v>
      </c>
      <c r="E38" s="3">
        <f>SUM(E33:E37)</f>
        <v>0</v>
      </c>
      <c r="F38" s="3">
        <f>SUM(F33:F37)</f>
        <v>0</v>
      </c>
      <c r="G38" s="3">
        <f>SUM(G33:G37)</f>
        <v>0</v>
      </c>
    </row>
  </sheetData>
  <sheetProtection/>
  <printOptions gridLines="1" horizontalCentered="1" verticalCentered="1"/>
  <pageMargins left="0.1968503937007874" right="0.1968503937007874" top="0.984251968503937" bottom="0.3937007874015748" header="0.5905511811023623" footer="0.5118110236220472"/>
  <pageSetup horizontalDpi="300" verticalDpi="300" orientation="landscape" scale="85" r:id="rId1"/>
  <headerFooter alignWithMargins="0">
    <oddHeader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>
    <tabColor indexed="30"/>
  </sheetPr>
  <dimension ref="A1:H38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11.421875" defaultRowHeight="12.75"/>
  <cols>
    <col min="1" max="1" width="2.7109375" style="8" customWidth="1"/>
    <col min="2" max="2" width="35.421875" style="1" customWidth="1"/>
    <col min="3" max="4" width="19.28125" style="1" customWidth="1"/>
    <col min="5" max="7" width="18.28125" style="1" customWidth="1"/>
    <col min="8" max="8" width="15.28125" style="8" customWidth="1"/>
    <col min="9" max="16384" width="11.421875" style="8" customWidth="1"/>
  </cols>
  <sheetData>
    <row r="1" spans="2:7" ht="12.75">
      <c r="B1" s="10"/>
      <c r="C1" s="11">
        <v>1</v>
      </c>
      <c r="D1" s="11">
        <v>2</v>
      </c>
      <c r="E1" s="11">
        <v>3</v>
      </c>
      <c r="F1" s="11">
        <v>4</v>
      </c>
      <c r="G1" s="11">
        <v>5</v>
      </c>
    </row>
    <row r="2" spans="2:7" ht="12.75">
      <c r="B2" s="12" t="s">
        <v>107</v>
      </c>
      <c r="C2" s="13"/>
      <c r="D2" s="13"/>
      <c r="E2" s="13"/>
      <c r="F2" s="13"/>
      <c r="G2" s="13"/>
    </row>
    <row r="3" spans="2:7" ht="12.75">
      <c r="B3" s="19" t="s">
        <v>195</v>
      </c>
      <c r="C3" s="6">
        <f>Proyecciones!D168</f>
        <v>0</v>
      </c>
      <c r="D3" s="6">
        <f>Proyecciones!E168</f>
        <v>0</v>
      </c>
      <c r="E3" s="6">
        <f>Proyecciones!F168</f>
        <v>0</v>
      </c>
      <c r="F3" s="6">
        <f>Proyecciones!G168</f>
        <v>0</v>
      </c>
      <c r="G3" s="6">
        <f>Proyecciones!H168</f>
        <v>0</v>
      </c>
    </row>
    <row r="4" spans="2:7" s="9" customFormat="1" ht="12.75">
      <c r="B4" s="17" t="s">
        <v>14</v>
      </c>
      <c r="C4" s="20"/>
      <c r="D4" s="20"/>
      <c r="E4" s="20"/>
      <c r="F4" s="20"/>
      <c r="G4" s="20"/>
    </row>
    <row r="5" spans="1:7" ht="12.75">
      <c r="A5" s="5">
        <v>1</v>
      </c>
      <c r="B5" s="21" t="s">
        <v>108</v>
      </c>
      <c r="C5" s="2">
        <f>IF($A5&gt;C$1,0,IF($A5=C$1,C$3*Proyecciones!D$4,B12*Proyecciones!D$4))</f>
        <v>0</v>
      </c>
      <c r="D5" s="2">
        <f>IF($A5&gt;D$1,0,IF($A5=D$1,D$3*Proyecciones!E$4,C12*Proyecciones!E$4))</f>
        <v>0</v>
      </c>
      <c r="E5" s="2">
        <f>IF($A5&gt;E$1,0,IF($A5=E$1,E$3*Proyecciones!F$4,D12*Proyecciones!F$4))</f>
        <v>0</v>
      </c>
      <c r="F5" s="2">
        <f>IF($A5&gt;F$1,0,IF($A5=F$1,F$3*Proyecciones!G$4,E12*Proyecciones!G$4))</f>
        <v>0</v>
      </c>
      <c r="G5" s="2">
        <f>IF($A5&gt;G$1,0,IF($A5=G$1,G$3*Proyecciones!H$4,F12*Proyecciones!H$4))</f>
        <v>0</v>
      </c>
    </row>
    <row r="6" spans="1:7" ht="12.75">
      <c r="A6" s="5">
        <v>2</v>
      </c>
      <c r="B6" s="21" t="s">
        <v>109</v>
      </c>
      <c r="C6" s="2">
        <f>IF($A6&gt;C$1,0,IF($A6=C$1,C$3*Proyecciones!D$4,B13*Proyecciones!D$4))</f>
        <v>0</v>
      </c>
      <c r="D6" s="2">
        <f>IF($A6&gt;D$1,0,IF($A6=D$1,D$3*Proyecciones!E$4,C13*Proyecciones!E$4))</f>
        <v>0</v>
      </c>
      <c r="E6" s="2">
        <f>IF($A6&gt;E$1,0,IF($A6=E$1,E$3*Proyecciones!F$4,D13*Proyecciones!F$4))</f>
        <v>0</v>
      </c>
      <c r="F6" s="2">
        <f>IF($A6&gt;F$1,0,IF($A6=F$1,F$3*Proyecciones!G$4,E13*Proyecciones!G$4))</f>
        <v>0</v>
      </c>
      <c r="G6" s="2">
        <f>IF($A6&gt;G$1,0,IF($A6=G$1,G$3*Proyecciones!H$4,F13*Proyecciones!H$4))</f>
        <v>0</v>
      </c>
    </row>
    <row r="7" spans="1:7" ht="12.75">
      <c r="A7" s="5">
        <v>3</v>
      </c>
      <c r="B7" s="21" t="s">
        <v>110</v>
      </c>
      <c r="C7" s="2">
        <f>IF($A7&gt;C$1,0,IF($A7=C$1,C$3*Proyecciones!D$4,B14*Proyecciones!D$4))</f>
        <v>0</v>
      </c>
      <c r="D7" s="2">
        <f>IF($A7&gt;D$1,0,IF($A7=D$1,D$3*Proyecciones!E$4,C14*Proyecciones!E$4))</f>
        <v>0</v>
      </c>
      <c r="E7" s="2">
        <f>IF($A7&gt;E$1,0,IF($A7=E$1,E$3*Proyecciones!F$4,D14*Proyecciones!F$4))</f>
        <v>0</v>
      </c>
      <c r="F7" s="2">
        <f>IF($A7&gt;F$1,0,IF($A7=F$1,F$3*Proyecciones!G$4,E14*Proyecciones!G$4))</f>
        <v>0</v>
      </c>
      <c r="G7" s="2">
        <f>IF($A7&gt;G$1,0,IF($A7=G$1,G$3*Proyecciones!H$4,F14*Proyecciones!H$4))</f>
        <v>0</v>
      </c>
    </row>
    <row r="8" spans="1:7" ht="12.75">
      <c r="A8" s="5">
        <v>4</v>
      </c>
      <c r="B8" s="21" t="s">
        <v>111</v>
      </c>
      <c r="C8" s="2">
        <f>IF($A8&gt;C$1,0,IF($A8=C$1,C$3*Proyecciones!D$4,B15*Proyecciones!D$4))</f>
        <v>0</v>
      </c>
      <c r="D8" s="2">
        <f>IF($A8&gt;D$1,0,IF($A8=D$1,D$3*Proyecciones!E$4,C15*Proyecciones!E$4))</f>
        <v>0</v>
      </c>
      <c r="E8" s="2">
        <f>IF($A8&gt;E$1,0,IF($A8=E$1,E$3*Proyecciones!F$4,D15*Proyecciones!F$4))</f>
        <v>0</v>
      </c>
      <c r="F8" s="2">
        <f>IF($A8&gt;F$1,0,IF($A8=F$1,F$3*Proyecciones!G$4,E15*Proyecciones!G$4))</f>
        <v>0</v>
      </c>
      <c r="G8" s="2">
        <f>IF($A8&gt;G$1,0,IF($A8=G$1,G$3*Proyecciones!H$4,F15*Proyecciones!H$4))</f>
        <v>0</v>
      </c>
    </row>
    <row r="9" spans="1:7" ht="12.75">
      <c r="A9" s="5">
        <v>5</v>
      </c>
      <c r="B9" s="21" t="s">
        <v>112</v>
      </c>
      <c r="C9" s="2">
        <f>IF($A9&gt;C$1,0,IF($A9=C$1,C$3*Proyecciones!D$4,B16*Proyecciones!D$4))</f>
        <v>0</v>
      </c>
      <c r="D9" s="2">
        <f>IF($A9&gt;D$1,0,IF($A9=D$1,D$3*Proyecciones!E$4,C16*Proyecciones!E$4))</f>
        <v>0</v>
      </c>
      <c r="E9" s="2">
        <f>IF($A9&gt;E$1,0,IF($A9=E$1,E$3*Proyecciones!F$4,D16*Proyecciones!F$4))</f>
        <v>0</v>
      </c>
      <c r="F9" s="2">
        <f>IF($A9&gt;F$1,0,IF($A9=F$1,F$3*Proyecciones!G$4,E16*Proyecciones!G$4))</f>
        <v>0</v>
      </c>
      <c r="G9" s="2">
        <f>IF($A9&gt;G$1,0,IF($A9=G$1,G$3*Proyecciones!H$4,F16*Proyecciones!H$4))</f>
        <v>0</v>
      </c>
    </row>
    <row r="10" spans="2:7" ht="12.75">
      <c r="B10" s="5" t="s">
        <v>113</v>
      </c>
      <c r="C10" s="2">
        <f>SUM(C5:C9)</f>
        <v>0</v>
      </c>
      <c r="D10" s="2">
        <f>SUM(D5:D9)</f>
        <v>0</v>
      </c>
      <c r="E10" s="2">
        <f>SUM(E5:E9)</f>
        <v>0</v>
      </c>
      <c r="F10" s="2">
        <f>SUM(F5:F9)</f>
        <v>0</v>
      </c>
      <c r="G10" s="2">
        <f>SUM(G5:G9)</f>
        <v>0</v>
      </c>
    </row>
    <row r="11" spans="2:7" s="22" customFormat="1" ht="12.75">
      <c r="B11" s="17" t="s">
        <v>114</v>
      </c>
      <c r="C11" s="23"/>
      <c r="D11" s="23"/>
      <c r="E11" s="23"/>
      <c r="F11" s="23"/>
      <c r="G11" s="23"/>
    </row>
    <row r="12" spans="1:7" ht="12.75">
      <c r="A12" s="5">
        <v>1</v>
      </c>
      <c r="B12" s="21" t="s">
        <v>108</v>
      </c>
      <c r="C12" s="2">
        <f aca="true" t="shared" si="0" ref="C12:G16">IF($A12&gt;C$1,0,IF($A12=C$1,C$3+C5,B12+C5))</f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</row>
    <row r="13" spans="1:7" ht="12.75">
      <c r="A13" s="5">
        <v>2</v>
      </c>
      <c r="B13" s="21" t="s">
        <v>109</v>
      </c>
      <c r="C13" s="2">
        <f t="shared" si="0"/>
        <v>0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</row>
    <row r="14" spans="1:7" ht="12.75">
      <c r="A14" s="5">
        <v>3</v>
      </c>
      <c r="B14" s="21" t="s">
        <v>110</v>
      </c>
      <c r="C14" s="2">
        <f t="shared" si="0"/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</row>
    <row r="15" spans="1:7" ht="12.75">
      <c r="A15" s="5">
        <v>4</v>
      </c>
      <c r="B15" s="21" t="s">
        <v>111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</row>
    <row r="16" spans="1:7" ht="12.75">
      <c r="A16" s="5">
        <v>5</v>
      </c>
      <c r="B16" s="21" t="s">
        <v>112</v>
      </c>
      <c r="C16" s="2">
        <f t="shared" si="0"/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</row>
    <row r="17" spans="2:7" ht="12.75">
      <c r="B17" s="5" t="s">
        <v>115</v>
      </c>
      <c r="C17" s="3">
        <f>SUM(C12:C16)</f>
        <v>0</v>
      </c>
      <c r="D17" s="3">
        <f>SUM(D12:D16)</f>
        <v>0</v>
      </c>
      <c r="E17" s="3">
        <f>SUM(E12:E16)</f>
        <v>0</v>
      </c>
      <c r="F17" s="3">
        <f>SUM(F12:F16)</f>
        <v>0</v>
      </c>
      <c r="G17" s="3">
        <f>SUM(G12:G16)</f>
        <v>0</v>
      </c>
    </row>
    <row r="18" spans="2:7" s="22" customFormat="1" ht="13.5" customHeight="1">
      <c r="B18" s="17" t="s">
        <v>22</v>
      </c>
      <c r="C18" s="23"/>
      <c r="D18" s="23"/>
      <c r="E18" s="23"/>
      <c r="F18" s="23"/>
      <c r="G18" s="23"/>
    </row>
    <row r="19" spans="1:7" ht="12.75">
      <c r="A19" s="5">
        <v>1</v>
      </c>
      <c r="B19" s="21" t="s">
        <v>108</v>
      </c>
      <c r="C19" s="2">
        <f>IF(OR($A19&gt;C$1,Bases!$B$15+$A19-1&lt;C$1),0,C12/Bases!$B$15)</f>
        <v>0</v>
      </c>
      <c r="D19" s="2">
        <f>IF(OR($A19&gt;D$1,Bases!$B$15+$A19-1&lt;D$1),0,D12/Bases!$B$15)</f>
        <v>0</v>
      </c>
      <c r="E19" s="2">
        <f>IF(OR($A19&gt;E$1,Bases!$B$15+$A19-1&lt;E$1),0,E12/Bases!$B$15)</f>
        <v>0</v>
      </c>
      <c r="F19" s="2">
        <f>IF(OR($A19&gt;F$1,Bases!$B$15+$A19-1&lt;F$1),0,F12/Bases!$B$15)</f>
        <v>0</v>
      </c>
      <c r="G19" s="2">
        <f>IF(OR($A19&gt;G$1,Bases!$B$15+$A19-1&lt;G$1),0,G12/Bases!$B$15)</f>
        <v>0</v>
      </c>
    </row>
    <row r="20" spans="1:7" ht="12.75">
      <c r="A20" s="5">
        <v>2</v>
      </c>
      <c r="B20" s="21" t="s">
        <v>109</v>
      </c>
      <c r="C20" s="2">
        <f>IF(OR($A20&gt;C$1,Bases!$B$15+$A20-1&lt;C$1),0,C13/Bases!$B$15)</f>
        <v>0</v>
      </c>
      <c r="D20" s="2">
        <f>IF(OR($A20&gt;D$1,Bases!$B$15+$A20-1&lt;D$1),0,D13/Bases!$B$15)</f>
        <v>0</v>
      </c>
      <c r="E20" s="2">
        <f>IF(OR($A20&gt;E$1,Bases!$B$15+$A20-1&lt;E$1),0,E13/Bases!$B$15)</f>
        <v>0</v>
      </c>
      <c r="F20" s="2">
        <f>IF(OR($A20&gt;F$1,Bases!$B$15+$A20-1&lt;F$1),0,F13/Bases!$B$15)</f>
        <v>0</v>
      </c>
      <c r="G20" s="2">
        <f>IF(OR($A20&gt;G$1,Bases!$B$15+$A20-1&lt;G$1),0,G13/Bases!$B$15)</f>
        <v>0</v>
      </c>
    </row>
    <row r="21" spans="1:7" ht="12.75">
      <c r="A21" s="5">
        <v>3</v>
      </c>
      <c r="B21" s="21" t="s">
        <v>110</v>
      </c>
      <c r="C21" s="2">
        <f>IF(OR($A21&gt;C$1,Bases!$B$15+$A21-1&lt;C$1),0,C14/Bases!$B$15)</f>
        <v>0</v>
      </c>
      <c r="D21" s="2">
        <f>IF(OR($A21&gt;D$1,Bases!$B$15+$A21-1&lt;D$1),0,D14/Bases!$B$15)</f>
        <v>0</v>
      </c>
      <c r="E21" s="2">
        <f>IF(OR($A21&gt;E$1,Bases!$B$15+$A21-1&lt;E$1),0,E14/Bases!$B$15)</f>
        <v>0</v>
      </c>
      <c r="F21" s="2">
        <f>IF(OR($A21&gt;F$1,Bases!$B$15+$A21-1&lt;F$1),0,F14/Bases!$B$15)</f>
        <v>0</v>
      </c>
      <c r="G21" s="2">
        <f>IF(OR($A21&gt;G$1,Bases!$B$15+$A21-1&lt;G$1),0,G14/Bases!$B$15)</f>
        <v>0</v>
      </c>
    </row>
    <row r="22" spans="1:7" ht="12.75">
      <c r="A22" s="5">
        <v>4</v>
      </c>
      <c r="B22" s="21" t="s">
        <v>111</v>
      </c>
      <c r="C22" s="2">
        <f>IF(OR($A22&gt;C$1,Bases!$B$15+$A22-1&lt;C$1),0,C15/Bases!$B$15)</f>
        <v>0</v>
      </c>
      <c r="D22" s="2">
        <f>IF(OR($A22&gt;D$1,Bases!$B$15+$A22-1&lt;D$1),0,D15/Bases!$B$15)</f>
        <v>0</v>
      </c>
      <c r="E22" s="2">
        <f>IF(OR($A22&gt;E$1,Bases!$B$15+$A22-1&lt;E$1),0,E15/Bases!$B$15)</f>
        <v>0</v>
      </c>
      <c r="F22" s="2">
        <f>IF(OR($A22&gt;F$1,Bases!$B$15+$A22-1&lt;F$1),0,F15/Bases!$B$15)</f>
        <v>0</v>
      </c>
      <c r="G22" s="2">
        <f>IF(OR($A22&gt;G$1,Bases!$B$15+$A22-1&lt;G$1),0,G15/Bases!$B$15)</f>
        <v>0</v>
      </c>
    </row>
    <row r="23" spans="1:7" ht="12.75">
      <c r="A23" s="5">
        <v>5</v>
      </c>
      <c r="B23" s="21" t="s">
        <v>112</v>
      </c>
      <c r="C23" s="2">
        <f>IF(OR($A23&gt;C$1,Bases!$B$15+$A23-1&lt;C$1),0,C16/Bases!$B$15)</f>
        <v>0</v>
      </c>
      <c r="D23" s="2">
        <f>IF(OR($A23&gt;D$1,Bases!$B$15+$A23-1&lt;D$1),0,D16/Bases!$B$15)</f>
        <v>0</v>
      </c>
      <c r="E23" s="2">
        <f>IF(OR($A23&gt;E$1,Bases!$B$15+$A23-1&lt;E$1),0,E16/Bases!$B$15)</f>
        <v>0</v>
      </c>
      <c r="F23" s="2">
        <f>IF(OR($A23&gt;F$1,Bases!$B$15+$A23-1&lt;F$1),0,F16/Bases!$B$15)</f>
        <v>0</v>
      </c>
      <c r="G23" s="2">
        <f>IF(OR($A23&gt;G$1,Bases!$B$15+$A23-1&lt;G$1),0,G16/Bases!$B$15)</f>
        <v>0</v>
      </c>
    </row>
    <row r="24" spans="2:7" ht="12.75">
      <c r="B24" s="5" t="s">
        <v>116</v>
      </c>
      <c r="C24" s="3">
        <f>SUM(C19:C23)</f>
        <v>0</v>
      </c>
      <c r="D24" s="3">
        <f>SUM(D19:D23)</f>
        <v>0</v>
      </c>
      <c r="E24" s="3">
        <f>SUM(E19:E23)</f>
        <v>0</v>
      </c>
      <c r="F24" s="3">
        <f>SUM(F19:F23)</f>
        <v>0</v>
      </c>
      <c r="G24" s="3">
        <f>SUM(G19:G23)</f>
        <v>0</v>
      </c>
    </row>
    <row r="25" spans="2:7" s="22" customFormat="1" ht="13.5" customHeight="1">
      <c r="B25" s="17" t="s">
        <v>117</v>
      </c>
      <c r="C25" s="23"/>
      <c r="D25" s="23"/>
      <c r="E25" s="23"/>
      <c r="F25" s="23"/>
      <c r="G25" s="23"/>
    </row>
    <row r="26" spans="1:7" ht="12.75">
      <c r="A26" s="5">
        <v>1</v>
      </c>
      <c r="B26" s="24" t="s">
        <v>108</v>
      </c>
      <c r="C26" s="2">
        <f>IF($A26&gt;=C$1,0,B33*Proyecciones!D$4)</f>
        <v>0</v>
      </c>
      <c r="D26" s="2">
        <f>IF($A26&gt;=D$1,0,C33*Proyecciones!E$4)</f>
        <v>0</v>
      </c>
      <c r="E26" s="2">
        <f>IF($A26&gt;=E$1,0,D33*Proyecciones!F$4)</f>
        <v>0</v>
      </c>
      <c r="F26" s="2">
        <f>IF($A26&gt;=F$1,0,E33*Proyecciones!G$4)</f>
        <v>0</v>
      </c>
      <c r="G26" s="2">
        <f>IF($A26&gt;=G$1,0,F33*Proyecciones!H$4)</f>
        <v>0</v>
      </c>
    </row>
    <row r="27" spans="1:7" ht="12.75">
      <c r="A27" s="5">
        <v>2</v>
      </c>
      <c r="B27" s="24" t="s">
        <v>109</v>
      </c>
      <c r="C27" s="2">
        <f>IF($A27&gt;=C$1,0,B34*Proyecciones!D$4)</f>
        <v>0</v>
      </c>
      <c r="D27" s="2">
        <f>IF($A27&gt;=D$1,0,C34*Proyecciones!E$4)</f>
        <v>0</v>
      </c>
      <c r="E27" s="2">
        <f>IF($A27&gt;=E$1,0,D34*Proyecciones!F$4)</f>
        <v>0</v>
      </c>
      <c r="F27" s="2">
        <f>IF($A27&gt;=F$1,0,E34*Proyecciones!G$4)</f>
        <v>0</v>
      </c>
      <c r="G27" s="2">
        <f>IF($A27&gt;=G$1,0,F34*Proyecciones!H$4)</f>
        <v>0</v>
      </c>
    </row>
    <row r="28" spans="1:7" ht="12.75">
      <c r="A28" s="5">
        <v>3</v>
      </c>
      <c r="B28" s="24" t="s">
        <v>110</v>
      </c>
      <c r="C28" s="2">
        <f>IF($A28&gt;=C$1,0,B35*Proyecciones!D$4)</f>
        <v>0</v>
      </c>
      <c r="D28" s="2">
        <f>IF($A28&gt;=D$1,0,C35*Proyecciones!E$4)</f>
        <v>0</v>
      </c>
      <c r="E28" s="2">
        <f>IF($A28&gt;=E$1,0,D35*Proyecciones!F$4)</f>
        <v>0</v>
      </c>
      <c r="F28" s="2">
        <f>IF($A28&gt;=F$1,0,E35*Proyecciones!G$4)</f>
        <v>0</v>
      </c>
      <c r="G28" s="2">
        <f>IF($A28&gt;=G$1,0,F35*Proyecciones!H$4)</f>
        <v>0</v>
      </c>
    </row>
    <row r="29" spans="1:7" ht="12.75">
      <c r="A29" s="5">
        <v>4</v>
      </c>
      <c r="B29" s="24" t="s">
        <v>111</v>
      </c>
      <c r="C29" s="2">
        <f>IF($A29&gt;=C$1,0,B36*Proyecciones!D$4)</f>
        <v>0</v>
      </c>
      <c r="D29" s="2">
        <f>IF($A29&gt;=D$1,0,C36*Proyecciones!E$4)</f>
        <v>0</v>
      </c>
      <c r="E29" s="2">
        <f>IF($A29&gt;=E$1,0,D36*Proyecciones!F$4)</f>
        <v>0</v>
      </c>
      <c r="F29" s="2">
        <f>IF($A29&gt;=F$1,0,E36*Proyecciones!G$4)</f>
        <v>0</v>
      </c>
      <c r="G29" s="2">
        <f>IF($A29&gt;=G$1,0,F36*Proyecciones!H$4)</f>
        <v>0</v>
      </c>
    </row>
    <row r="30" spans="1:7" ht="12.75">
      <c r="A30" s="5">
        <v>5</v>
      </c>
      <c r="B30" s="24" t="s">
        <v>112</v>
      </c>
      <c r="C30" s="2">
        <f>IF($A30&gt;=C$1,0,B37*Proyecciones!D$4)</f>
        <v>0</v>
      </c>
      <c r="D30" s="2">
        <f>IF($A30&gt;=D$1,0,C37*Proyecciones!E$4)</f>
        <v>0</v>
      </c>
      <c r="E30" s="2">
        <f>IF($A30&gt;=E$1,0,D37*Proyecciones!F$4)</f>
        <v>0</v>
      </c>
      <c r="F30" s="2">
        <f>IF($A30&gt;=F$1,0,E37*Proyecciones!G$4)</f>
        <v>0</v>
      </c>
      <c r="G30" s="2">
        <f>IF($A30&gt;=G$1,0,F37*Proyecciones!H$4)</f>
        <v>0</v>
      </c>
    </row>
    <row r="31" spans="2:7" ht="12.75">
      <c r="B31" s="7" t="s">
        <v>118</v>
      </c>
      <c r="C31" s="2">
        <f>SUM(C26:C30)</f>
        <v>0</v>
      </c>
      <c r="D31" s="2">
        <f>SUM(D26:D30)</f>
        <v>0</v>
      </c>
      <c r="E31" s="2">
        <f>SUM(E26:E30)</f>
        <v>0</v>
      </c>
      <c r="F31" s="2">
        <f>SUM(F26:F30)</f>
        <v>0</v>
      </c>
      <c r="G31" s="2">
        <f>SUM(G26:G30)</f>
        <v>0</v>
      </c>
    </row>
    <row r="32" spans="2:7" s="22" customFormat="1" ht="13.5" customHeight="1">
      <c r="B32" s="17" t="s">
        <v>119</v>
      </c>
      <c r="C32" s="23"/>
      <c r="D32" s="23"/>
      <c r="E32" s="23"/>
      <c r="F32" s="23"/>
      <c r="G32" s="23"/>
    </row>
    <row r="33" spans="1:8" ht="12.75">
      <c r="A33" s="5">
        <v>1</v>
      </c>
      <c r="B33" s="21" t="s">
        <v>108</v>
      </c>
      <c r="C33" s="3">
        <f aca="true" t="shared" si="1" ref="C33:G37">IF($A33&gt;C$1,0,IF($A33=C$1,C19,B33+C19+C26))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25"/>
    </row>
    <row r="34" spans="1:7" ht="12.75">
      <c r="A34" s="5">
        <v>2</v>
      </c>
      <c r="B34" s="21" t="s">
        <v>109</v>
      </c>
      <c r="C34" s="3">
        <f t="shared" si="1"/>
        <v>0</v>
      </c>
      <c r="D34" s="3">
        <f t="shared" si="1"/>
        <v>0</v>
      </c>
      <c r="E34" s="3">
        <f t="shared" si="1"/>
        <v>0</v>
      </c>
      <c r="F34" s="3">
        <f t="shared" si="1"/>
        <v>0</v>
      </c>
      <c r="G34" s="3">
        <f t="shared" si="1"/>
        <v>0</v>
      </c>
    </row>
    <row r="35" spans="1:7" ht="12.75">
      <c r="A35" s="5">
        <v>3</v>
      </c>
      <c r="B35" s="21" t="s">
        <v>110</v>
      </c>
      <c r="C35" s="3">
        <f t="shared" si="1"/>
        <v>0</v>
      </c>
      <c r="D35" s="3">
        <f t="shared" si="1"/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</row>
    <row r="36" spans="1:7" ht="12.75">
      <c r="A36" s="5">
        <v>4</v>
      </c>
      <c r="B36" s="21" t="s">
        <v>111</v>
      </c>
      <c r="C36" s="3">
        <f t="shared" si="1"/>
        <v>0</v>
      </c>
      <c r="D36" s="3">
        <f t="shared" si="1"/>
        <v>0</v>
      </c>
      <c r="E36" s="3">
        <f t="shared" si="1"/>
        <v>0</v>
      </c>
      <c r="F36" s="3">
        <f t="shared" si="1"/>
        <v>0</v>
      </c>
      <c r="G36" s="3">
        <f t="shared" si="1"/>
        <v>0</v>
      </c>
    </row>
    <row r="37" spans="1:7" ht="12.75">
      <c r="A37" s="5">
        <v>5</v>
      </c>
      <c r="B37" s="21" t="s">
        <v>112</v>
      </c>
      <c r="C37" s="3">
        <f t="shared" si="1"/>
        <v>0</v>
      </c>
      <c r="D37" s="3">
        <f t="shared" si="1"/>
        <v>0</v>
      </c>
      <c r="E37" s="3">
        <f t="shared" si="1"/>
        <v>0</v>
      </c>
      <c r="F37" s="3">
        <f t="shared" si="1"/>
        <v>0</v>
      </c>
      <c r="G37" s="3">
        <f t="shared" si="1"/>
        <v>0</v>
      </c>
    </row>
    <row r="38" spans="2:7" ht="12.75">
      <c r="B38" s="5" t="s">
        <v>120</v>
      </c>
      <c r="C38" s="3">
        <f>SUM(C33:C37)</f>
        <v>0</v>
      </c>
      <c r="D38" s="3">
        <f>SUM(D33:D37)</f>
        <v>0</v>
      </c>
      <c r="E38" s="3">
        <f>SUM(E33:E37)</f>
        <v>0</v>
      </c>
      <c r="F38" s="3">
        <f>SUM(F33:F37)</f>
        <v>0</v>
      </c>
      <c r="G38" s="3">
        <f>SUM(G33:G37)</f>
        <v>0</v>
      </c>
    </row>
  </sheetData>
  <sheetProtection/>
  <printOptions gridLines="1" horizontalCentered="1" verticalCentered="1"/>
  <pageMargins left="0.1968503937007874" right="0.1968503937007874" top="0.984251968503937" bottom="0.3937007874015748" header="0.5905511811023623" footer="0.5118110236220472"/>
  <pageSetup horizontalDpi="300" verticalDpi="300" orientation="landscape" scale="85" r:id="rId1"/>
  <headerFooter alignWithMargins="0">
    <oddHeader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tabColor indexed="30"/>
  </sheetPr>
  <dimension ref="A1:H38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11.421875" defaultRowHeight="12.75"/>
  <cols>
    <col min="1" max="1" width="2.7109375" style="8" customWidth="1"/>
    <col min="2" max="2" width="35.421875" style="1" customWidth="1"/>
    <col min="3" max="4" width="19.28125" style="1" customWidth="1"/>
    <col min="5" max="7" width="18.28125" style="1" customWidth="1"/>
    <col min="8" max="8" width="15.28125" style="8" customWidth="1"/>
    <col min="9" max="16384" width="11.421875" style="8" customWidth="1"/>
  </cols>
  <sheetData>
    <row r="1" spans="2:7" ht="12.75">
      <c r="B1" s="10"/>
      <c r="C1" s="11">
        <v>1</v>
      </c>
      <c r="D1" s="11">
        <v>2</v>
      </c>
      <c r="E1" s="11">
        <v>3</v>
      </c>
      <c r="F1" s="11">
        <v>4</v>
      </c>
      <c r="G1" s="11">
        <v>5</v>
      </c>
    </row>
    <row r="2" spans="2:7" ht="12.75">
      <c r="B2" s="12" t="s">
        <v>107</v>
      </c>
      <c r="C2" s="13"/>
      <c r="D2" s="13"/>
      <c r="E2" s="13"/>
      <c r="F2" s="13"/>
      <c r="G2" s="13"/>
    </row>
    <row r="3" spans="2:7" ht="12.75">
      <c r="B3" s="19" t="s">
        <v>197</v>
      </c>
      <c r="C3" s="6">
        <f>Proyecciones!D169</f>
        <v>0</v>
      </c>
      <c r="D3" s="6">
        <f>Proyecciones!E169</f>
        <v>0</v>
      </c>
      <c r="E3" s="6">
        <f>Proyecciones!F169</f>
        <v>0</v>
      </c>
      <c r="F3" s="6">
        <f>Proyecciones!G169</f>
        <v>0</v>
      </c>
      <c r="G3" s="6">
        <f>Proyecciones!H169</f>
        <v>0</v>
      </c>
    </row>
    <row r="4" spans="2:7" s="9" customFormat="1" ht="12.75">
      <c r="B4" s="17" t="s">
        <v>14</v>
      </c>
      <c r="C4" s="20"/>
      <c r="D4" s="20"/>
      <c r="E4" s="20"/>
      <c r="F4" s="20"/>
      <c r="G4" s="20"/>
    </row>
    <row r="5" spans="1:7" ht="12.75">
      <c r="A5" s="5">
        <v>1</v>
      </c>
      <c r="B5" s="21" t="s">
        <v>108</v>
      </c>
      <c r="C5" s="2">
        <f>IF($A5&gt;C$1,0,IF($A5=C$1,C$3*Proyecciones!D$4,B12*Proyecciones!D$4))</f>
        <v>0</v>
      </c>
      <c r="D5" s="2">
        <f>IF($A5&gt;D$1,0,IF($A5=D$1,D$3*Proyecciones!E$4,C12*Proyecciones!E$4))</f>
        <v>0</v>
      </c>
      <c r="E5" s="2">
        <f>IF($A5&gt;E$1,0,IF($A5=E$1,E$3*Proyecciones!F$4,D12*Proyecciones!F$4))</f>
        <v>0</v>
      </c>
      <c r="F5" s="2">
        <f>IF($A5&gt;F$1,0,IF($A5=F$1,F$3*Proyecciones!G$4,E12*Proyecciones!G$4))</f>
        <v>0</v>
      </c>
      <c r="G5" s="2">
        <f>IF($A5&gt;G$1,0,IF($A5=G$1,G$3*Proyecciones!H$4,F12*Proyecciones!H$4))</f>
        <v>0</v>
      </c>
    </row>
    <row r="6" spans="1:7" ht="12.75">
      <c r="A6" s="5">
        <v>2</v>
      </c>
      <c r="B6" s="21" t="s">
        <v>109</v>
      </c>
      <c r="C6" s="2">
        <f>IF($A6&gt;C$1,0,IF($A6=C$1,C$3*Proyecciones!D$4,B13*Proyecciones!D$4))</f>
        <v>0</v>
      </c>
      <c r="D6" s="2">
        <f>IF($A6&gt;D$1,0,IF($A6=D$1,D$3*Proyecciones!E$4,C13*Proyecciones!E$4))</f>
        <v>0</v>
      </c>
      <c r="E6" s="2">
        <f>IF($A6&gt;E$1,0,IF($A6=E$1,E$3*Proyecciones!F$4,D13*Proyecciones!F$4))</f>
        <v>0</v>
      </c>
      <c r="F6" s="2">
        <f>IF($A6&gt;F$1,0,IF($A6=F$1,F$3*Proyecciones!G$4,E13*Proyecciones!G$4))</f>
        <v>0</v>
      </c>
      <c r="G6" s="2">
        <f>IF($A6&gt;G$1,0,IF($A6=G$1,G$3*Proyecciones!H$4,F13*Proyecciones!H$4))</f>
        <v>0</v>
      </c>
    </row>
    <row r="7" spans="1:7" ht="12.75">
      <c r="A7" s="5">
        <v>3</v>
      </c>
      <c r="B7" s="21" t="s">
        <v>110</v>
      </c>
      <c r="C7" s="2">
        <f>IF($A7&gt;C$1,0,IF($A7=C$1,C$3*Proyecciones!D$4,B14*Proyecciones!D$4))</f>
        <v>0</v>
      </c>
      <c r="D7" s="2">
        <f>IF($A7&gt;D$1,0,IF($A7=D$1,D$3*Proyecciones!E$4,C14*Proyecciones!E$4))</f>
        <v>0</v>
      </c>
      <c r="E7" s="2">
        <f>IF($A7&gt;E$1,0,IF($A7=E$1,E$3*Proyecciones!F$4,D14*Proyecciones!F$4))</f>
        <v>0</v>
      </c>
      <c r="F7" s="2">
        <f>IF($A7&gt;F$1,0,IF($A7=F$1,F$3*Proyecciones!G$4,E14*Proyecciones!G$4))</f>
        <v>0</v>
      </c>
      <c r="G7" s="2">
        <f>IF($A7&gt;G$1,0,IF($A7=G$1,G$3*Proyecciones!H$4,F14*Proyecciones!H$4))</f>
        <v>0</v>
      </c>
    </row>
    <row r="8" spans="1:7" ht="12.75">
      <c r="A8" s="5">
        <v>4</v>
      </c>
      <c r="B8" s="21" t="s">
        <v>111</v>
      </c>
      <c r="C8" s="2">
        <f>IF($A8&gt;C$1,0,IF($A8=C$1,C$3*Proyecciones!D$4,B15*Proyecciones!D$4))</f>
        <v>0</v>
      </c>
      <c r="D8" s="2">
        <f>IF($A8&gt;D$1,0,IF($A8=D$1,D$3*Proyecciones!E$4,C15*Proyecciones!E$4))</f>
        <v>0</v>
      </c>
      <c r="E8" s="2">
        <f>IF($A8&gt;E$1,0,IF($A8=E$1,E$3*Proyecciones!F$4,D15*Proyecciones!F$4))</f>
        <v>0</v>
      </c>
      <c r="F8" s="2">
        <f>IF($A8&gt;F$1,0,IF($A8=F$1,F$3*Proyecciones!G$4,E15*Proyecciones!G$4))</f>
        <v>0</v>
      </c>
      <c r="G8" s="2">
        <f>IF($A8&gt;G$1,0,IF($A8=G$1,G$3*Proyecciones!H$4,F15*Proyecciones!H$4))</f>
        <v>0</v>
      </c>
    </row>
    <row r="9" spans="1:7" ht="12.75">
      <c r="A9" s="5">
        <v>5</v>
      </c>
      <c r="B9" s="21" t="s">
        <v>112</v>
      </c>
      <c r="C9" s="2">
        <f>IF($A9&gt;C$1,0,IF($A9=C$1,C$3*Proyecciones!D$4,B16*Proyecciones!D$4))</f>
        <v>0</v>
      </c>
      <c r="D9" s="2">
        <f>IF($A9&gt;D$1,0,IF($A9=D$1,D$3*Proyecciones!E$4,C16*Proyecciones!E$4))</f>
        <v>0</v>
      </c>
      <c r="E9" s="2">
        <f>IF($A9&gt;E$1,0,IF($A9=E$1,E$3*Proyecciones!F$4,D16*Proyecciones!F$4))</f>
        <v>0</v>
      </c>
      <c r="F9" s="2">
        <f>IF($A9&gt;F$1,0,IF($A9=F$1,F$3*Proyecciones!G$4,E16*Proyecciones!G$4))</f>
        <v>0</v>
      </c>
      <c r="G9" s="2">
        <f>IF($A9&gt;G$1,0,IF($A9=G$1,G$3*Proyecciones!H$4,F16*Proyecciones!H$4))</f>
        <v>0</v>
      </c>
    </row>
    <row r="10" spans="2:7" ht="12.75">
      <c r="B10" s="5" t="s">
        <v>113</v>
      </c>
      <c r="C10" s="2">
        <f>SUM(C5:C9)</f>
        <v>0</v>
      </c>
      <c r="D10" s="2">
        <f>SUM(D5:D9)</f>
        <v>0</v>
      </c>
      <c r="E10" s="2">
        <f>SUM(E5:E9)</f>
        <v>0</v>
      </c>
      <c r="F10" s="2">
        <f>SUM(F5:F9)</f>
        <v>0</v>
      </c>
      <c r="G10" s="2">
        <f>SUM(G5:G9)</f>
        <v>0</v>
      </c>
    </row>
    <row r="11" spans="2:7" s="22" customFormat="1" ht="12.75">
      <c r="B11" s="17" t="s">
        <v>114</v>
      </c>
      <c r="C11" s="23"/>
      <c r="D11" s="23"/>
      <c r="E11" s="23"/>
      <c r="F11" s="23"/>
      <c r="G11" s="23"/>
    </row>
    <row r="12" spans="1:7" ht="12.75">
      <c r="A12" s="5">
        <v>1</v>
      </c>
      <c r="B12" s="21" t="s">
        <v>108</v>
      </c>
      <c r="C12" s="2">
        <f aca="true" t="shared" si="0" ref="C12:G16">IF($A12&gt;C$1,0,IF($A12=C$1,C$3+C5,B12+C5))</f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</row>
    <row r="13" spans="1:7" ht="12.75">
      <c r="A13" s="5">
        <v>2</v>
      </c>
      <c r="B13" s="21" t="s">
        <v>109</v>
      </c>
      <c r="C13" s="2">
        <f t="shared" si="0"/>
        <v>0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</row>
    <row r="14" spans="1:7" ht="12.75">
      <c r="A14" s="5">
        <v>3</v>
      </c>
      <c r="B14" s="21" t="s">
        <v>110</v>
      </c>
      <c r="C14" s="2">
        <f t="shared" si="0"/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</row>
    <row r="15" spans="1:7" ht="12.75">
      <c r="A15" s="5">
        <v>4</v>
      </c>
      <c r="B15" s="21" t="s">
        <v>111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</row>
    <row r="16" spans="1:7" ht="12.75">
      <c r="A16" s="5">
        <v>5</v>
      </c>
      <c r="B16" s="21" t="s">
        <v>112</v>
      </c>
      <c r="C16" s="2">
        <f t="shared" si="0"/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</row>
    <row r="17" spans="2:7" ht="12.75">
      <c r="B17" s="5" t="s">
        <v>115</v>
      </c>
      <c r="C17" s="3">
        <f>SUM(C12:C16)</f>
        <v>0</v>
      </c>
      <c r="D17" s="3">
        <f>SUM(D12:D16)</f>
        <v>0</v>
      </c>
      <c r="E17" s="3">
        <f>SUM(E12:E16)</f>
        <v>0</v>
      </c>
      <c r="F17" s="3">
        <f>SUM(F12:F16)</f>
        <v>0</v>
      </c>
      <c r="G17" s="3">
        <f>SUM(G12:G16)</f>
        <v>0</v>
      </c>
    </row>
    <row r="18" spans="2:7" s="22" customFormat="1" ht="13.5" customHeight="1">
      <c r="B18" s="17" t="s">
        <v>202</v>
      </c>
      <c r="C18" s="23"/>
      <c r="D18" s="23"/>
      <c r="E18" s="23"/>
      <c r="F18" s="23"/>
      <c r="G18" s="23"/>
    </row>
    <row r="19" spans="1:7" ht="12.75">
      <c r="A19" s="5">
        <v>1</v>
      </c>
      <c r="B19" s="21" t="s">
        <v>108</v>
      </c>
      <c r="C19" s="2">
        <f>IF(OR($A19&gt;C$1,Bases!$B$16+$A19-1&lt;C$1),0,C12/Bases!$B$16)</f>
        <v>0</v>
      </c>
      <c r="D19" s="2">
        <f>IF(OR($A19&gt;D$1,Bases!$B$16+$A19-1&lt;D$1),0,D12/Bases!$B$16)</f>
        <v>0</v>
      </c>
      <c r="E19" s="2">
        <f>IF(OR($A19&gt;E$1,Bases!$B$16+$A19-1&lt;E$1),0,E12/Bases!$B$16)</f>
        <v>0</v>
      </c>
      <c r="F19" s="2">
        <f>IF(OR($A19&gt;F$1,Bases!$B$16+$A19-1&lt;F$1),0,F12/Bases!$B$16)</f>
        <v>0</v>
      </c>
      <c r="G19" s="2">
        <f>IF(OR($A19&gt;G$1,Bases!$B$16+$A19-1&lt;G$1),0,G12/Bases!$B$16)</f>
        <v>0</v>
      </c>
    </row>
    <row r="20" spans="1:7" ht="12.75">
      <c r="A20" s="5">
        <v>2</v>
      </c>
      <c r="B20" s="21" t="s">
        <v>109</v>
      </c>
      <c r="C20" s="2">
        <f>IF(OR($A20&gt;C$1,Bases!$B$16+$A20-1&lt;C$1),0,C13/Bases!$B$16)</f>
        <v>0</v>
      </c>
      <c r="D20" s="2">
        <f>IF(OR($A20&gt;D$1,Bases!$B$16+$A20-1&lt;D$1),0,D13/Bases!$B$16)</f>
        <v>0</v>
      </c>
      <c r="E20" s="2">
        <f>IF(OR($A20&gt;E$1,Bases!$B$16+$A20-1&lt;E$1),0,E13/Bases!$B$16)</f>
        <v>0</v>
      </c>
      <c r="F20" s="2">
        <f>IF(OR($A20&gt;F$1,Bases!$B$16+$A20-1&lt;F$1),0,F13/Bases!$B$16)</f>
        <v>0</v>
      </c>
      <c r="G20" s="2">
        <f>IF(OR($A20&gt;G$1,Bases!$B$16+$A20-1&lt;G$1),0,G13/Bases!$B$16)</f>
        <v>0</v>
      </c>
    </row>
    <row r="21" spans="1:7" ht="12.75">
      <c r="A21" s="5">
        <v>3</v>
      </c>
      <c r="B21" s="21" t="s">
        <v>110</v>
      </c>
      <c r="C21" s="2">
        <f>IF(OR($A21&gt;C$1,Bases!$B$16+$A21-1&lt;C$1),0,C14/Bases!$B$16)</f>
        <v>0</v>
      </c>
      <c r="D21" s="2">
        <f>IF(OR($A21&gt;D$1,Bases!$B$16+$A21-1&lt;D$1),0,D14/Bases!$B$16)</f>
        <v>0</v>
      </c>
      <c r="E21" s="2">
        <f>IF(OR($A21&gt;E$1,Bases!$B$16+$A21-1&lt;E$1),0,E14/Bases!$B$16)</f>
        <v>0</v>
      </c>
      <c r="F21" s="2">
        <f>IF(OR($A21&gt;F$1,Bases!$B$16+$A21-1&lt;F$1),0,F14/Bases!$B$16)</f>
        <v>0</v>
      </c>
      <c r="G21" s="2">
        <f>IF(OR($A21&gt;G$1,Bases!$B$16+$A21-1&lt;G$1),0,G14/Bases!$B$16)</f>
        <v>0</v>
      </c>
    </row>
    <row r="22" spans="1:7" ht="12.75">
      <c r="A22" s="5">
        <v>4</v>
      </c>
      <c r="B22" s="21" t="s">
        <v>111</v>
      </c>
      <c r="C22" s="2">
        <f>IF(OR($A22&gt;C$1,Bases!$B$16+$A22-1&lt;C$1),0,C15/Bases!$B$16)</f>
        <v>0</v>
      </c>
      <c r="D22" s="2">
        <f>IF(OR($A22&gt;D$1,Bases!$B$16+$A22-1&lt;D$1),0,D15/Bases!$B$16)</f>
        <v>0</v>
      </c>
      <c r="E22" s="2">
        <f>IF(OR($A22&gt;E$1,Bases!$B$16+$A22-1&lt;E$1),0,E15/Bases!$B$16)</f>
        <v>0</v>
      </c>
      <c r="F22" s="2">
        <f>IF(OR($A22&gt;F$1,Bases!$B$16+$A22-1&lt;F$1),0,F15/Bases!$B$16)</f>
        <v>0</v>
      </c>
      <c r="G22" s="2">
        <f>IF(OR($A22&gt;G$1,Bases!$B$16+$A22-1&lt;G$1),0,G15/Bases!$B$16)</f>
        <v>0</v>
      </c>
    </row>
    <row r="23" spans="1:7" ht="12.75">
      <c r="A23" s="5">
        <v>5</v>
      </c>
      <c r="B23" s="21" t="s">
        <v>112</v>
      </c>
      <c r="C23" s="2">
        <f>IF(OR($A23&gt;C$1,Bases!$B$16+$A23-1&lt;C$1),0,C16/Bases!$B$16)</f>
        <v>0</v>
      </c>
      <c r="D23" s="2">
        <f>IF(OR($A23&gt;D$1,Bases!$B$16+$A23-1&lt;D$1),0,D16/Bases!$B$16)</f>
        <v>0</v>
      </c>
      <c r="E23" s="2">
        <f>IF(OR($A23&gt;E$1,Bases!$B$16+$A23-1&lt;E$1),0,E16/Bases!$B$16)</f>
        <v>0</v>
      </c>
      <c r="F23" s="2">
        <f>IF(OR($A23&gt;F$1,Bases!$B$16+$A23-1&lt;F$1),0,F16/Bases!$B$16)</f>
        <v>0</v>
      </c>
      <c r="G23" s="2">
        <f>IF(OR($A23&gt;G$1,Bases!$B$16+$A23-1&lt;G$1),0,G16/Bases!$B$16)</f>
        <v>0</v>
      </c>
    </row>
    <row r="24" spans="2:7" ht="12.75">
      <c r="B24" s="5" t="s">
        <v>209</v>
      </c>
      <c r="C24" s="3">
        <f>SUM(C19:C23)</f>
        <v>0</v>
      </c>
      <c r="D24" s="3">
        <f>SUM(D19:D23)</f>
        <v>0</v>
      </c>
      <c r="E24" s="3">
        <f>SUM(E19:E23)</f>
        <v>0</v>
      </c>
      <c r="F24" s="3">
        <f>SUM(F19:F23)</f>
        <v>0</v>
      </c>
      <c r="G24" s="3">
        <f>SUM(G19:G23)</f>
        <v>0</v>
      </c>
    </row>
    <row r="25" spans="2:7" s="22" customFormat="1" ht="13.5" customHeight="1">
      <c r="B25" s="17" t="s">
        <v>204</v>
      </c>
      <c r="C25" s="23"/>
      <c r="D25" s="23"/>
      <c r="E25" s="23"/>
      <c r="F25" s="23"/>
      <c r="G25" s="23"/>
    </row>
    <row r="26" spans="1:7" ht="12.75">
      <c r="A26" s="5">
        <v>1</v>
      </c>
      <c r="B26" s="24" t="s">
        <v>108</v>
      </c>
      <c r="C26" s="2">
        <f>IF($A26&gt;=C$1,0,B33*Proyecciones!D$4)</f>
        <v>0</v>
      </c>
      <c r="D26" s="2">
        <f>IF($A26&gt;=D$1,0,C33*Proyecciones!E$4)</f>
        <v>0</v>
      </c>
      <c r="E26" s="2">
        <f>IF($A26&gt;=E$1,0,D33*Proyecciones!F$4)</f>
        <v>0</v>
      </c>
      <c r="F26" s="2">
        <f>IF($A26&gt;=F$1,0,E33*Proyecciones!G$4)</f>
        <v>0</v>
      </c>
      <c r="G26" s="2">
        <f>IF($A26&gt;=G$1,0,F33*Proyecciones!H$4)</f>
        <v>0</v>
      </c>
    </row>
    <row r="27" spans="1:7" ht="12.75">
      <c r="A27" s="5">
        <v>2</v>
      </c>
      <c r="B27" s="24" t="s">
        <v>109</v>
      </c>
      <c r="C27" s="2">
        <f>IF($A27&gt;=C$1,0,B34*Proyecciones!D$4)</f>
        <v>0</v>
      </c>
      <c r="D27" s="2">
        <f>IF($A27&gt;=D$1,0,C34*Proyecciones!E$4)</f>
        <v>0</v>
      </c>
      <c r="E27" s="2">
        <f>IF($A27&gt;=E$1,0,D34*Proyecciones!F$4)</f>
        <v>0</v>
      </c>
      <c r="F27" s="2">
        <f>IF($A27&gt;=F$1,0,E34*Proyecciones!G$4)</f>
        <v>0</v>
      </c>
      <c r="G27" s="2">
        <f>IF($A27&gt;=G$1,0,F34*Proyecciones!H$4)</f>
        <v>0</v>
      </c>
    </row>
    <row r="28" spans="1:7" ht="12.75">
      <c r="A28" s="5">
        <v>3</v>
      </c>
      <c r="B28" s="24" t="s">
        <v>110</v>
      </c>
      <c r="C28" s="2">
        <f>IF($A28&gt;=C$1,0,B35*Proyecciones!D$4)</f>
        <v>0</v>
      </c>
      <c r="D28" s="2">
        <f>IF($A28&gt;=D$1,0,C35*Proyecciones!E$4)</f>
        <v>0</v>
      </c>
      <c r="E28" s="2">
        <f>IF($A28&gt;=E$1,0,D35*Proyecciones!F$4)</f>
        <v>0</v>
      </c>
      <c r="F28" s="2">
        <f>IF($A28&gt;=F$1,0,E35*Proyecciones!G$4)</f>
        <v>0</v>
      </c>
      <c r="G28" s="2">
        <f>IF($A28&gt;=G$1,0,F35*Proyecciones!H$4)</f>
        <v>0</v>
      </c>
    </row>
    <row r="29" spans="1:7" ht="12.75">
      <c r="A29" s="5">
        <v>4</v>
      </c>
      <c r="B29" s="24" t="s">
        <v>111</v>
      </c>
      <c r="C29" s="2">
        <f>IF($A29&gt;=C$1,0,B36*Proyecciones!D$4)</f>
        <v>0</v>
      </c>
      <c r="D29" s="2">
        <f>IF($A29&gt;=D$1,0,C36*Proyecciones!E$4)</f>
        <v>0</v>
      </c>
      <c r="E29" s="2">
        <f>IF($A29&gt;=E$1,0,D36*Proyecciones!F$4)</f>
        <v>0</v>
      </c>
      <c r="F29" s="2">
        <f>IF($A29&gt;=F$1,0,E36*Proyecciones!G$4)</f>
        <v>0</v>
      </c>
      <c r="G29" s="2">
        <f>IF($A29&gt;=G$1,0,F36*Proyecciones!H$4)</f>
        <v>0</v>
      </c>
    </row>
    <row r="30" spans="1:7" ht="12.75">
      <c r="A30" s="5">
        <v>5</v>
      </c>
      <c r="B30" s="24" t="s">
        <v>112</v>
      </c>
      <c r="C30" s="2">
        <f>IF($A30&gt;=C$1,0,B37*Proyecciones!D$4)</f>
        <v>0</v>
      </c>
      <c r="D30" s="2">
        <f>IF($A30&gt;=D$1,0,C37*Proyecciones!E$4)</f>
        <v>0</v>
      </c>
      <c r="E30" s="2">
        <f>IF($A30&gt;=E$1,0,D37*Proyecciones!F$4)</f>
        <v>0</v>
      </c>
      <c r="F30" s="2">
        <f>IF($A30&gt;=F$1,0,E37*Proyecciones!G$4)</f>
        <v>0</v>
      </c>
      <c r="G30" s="2">
        <f>IF($A30&gt;=G$1,0,F37*Proyecciones!H$4)</f>
        <v>0</v>
      </c>
    </row>
    <row r="31" spans="2:7" ht="12.75">
      <c r="B31" s="7" t="s">
        <v>208</v>
      </c>
      <c r="C31" s="2">
        <f>SUM(C26:C30)</f>
        <v>0</v>
      </c>
      <c r="D31" s="2">
        <f>SUM(D26:D30)</f>
        <v>0</v>
      </c>
      <c r="E31" s="2">
        <f>SUM(E26:E30)</f>
        <v>0</v>
      </c>
      <c r="F31" s="2">
        <f>SUM(F26:F30)</f>
        <v>0</v>
      </c>
      <c r="G31" s="2">
        <f>SUM(G26:G30)</f>
        <v>0</v>
      </c>
    </row>
    <row r="32" spans="2:7" s="22" customFormat="1" ht="13.5" customHeight="1">
      <c r="B32" s="17" t="s">
        <v>205</v>
      </c>
      <c r="C32" s="23"/>
      <c r="D32" s="23"/>
      <c r="E32" s="23"/>
      <c r="F32" s="23"/>
      <c r="G32" s="23"/>
    </row>
    <row r="33" spans="1:8" ht="12.75">
      <c r="A33" s="5">
        <v>1</v>
      </c>
      <c r="B33" s="21" t="s">
        <v>108</v>
      </c>
      <c r="C33" s="3">
        <f aca="true" t="shared" si="1" ref="C33:G37">IF($A33&gt;C$1,0,IF($A33=C$1,C19,B33+C19+C26))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25"/>
    </row>
    <row r="34" spans="1:7" ht="12.75">
      <c r="A34" s="5">
        <v>2</v>
      </c>
      <c r="B34" s="21" t="s">
        <v>109</v>
      </c>
      <c r="C34" s="3">
        <f t="shared" si="1"/>
        <v>0</v>
      </c>
      <c r="D34" s="3">
        <f t="shared" si="1"/>
        <v>0</v>
      </c>
      <c r="E34" s="3">
        <f t="shared" si="1"/>
        <v>0</v>
      </c>
      <c r="F34" s="3">
        <f t="shared" si="1"/>
        <v>0</v>
      </c>
      <c r="G34" s="3">
        <f t="shared" si="1"/>
        <v>0</v>
      </c>
    </row>
    <row r="35" spans="1:7" ht="12.75">
      <c r="A35" s="5">
        <v>3</v>
      </c>
      <c r="B35" s="21" t="s">
        <v>110</v>
      </c>
      <c r="C35" s="3">
        <f t="shared" si="1"/>
        <v>0</v>
      </c>
      <c r="D35" s="3">
        <f t="shared" si="1"/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</row>
    <row r="36" spans="1:7" ht="12.75">
      <c r="A36" s="5">
        <v>4</v>
      </c>
      <c r="B36" s="21" t="s">
        <v>111</v>
      </c>
      <c r="C36" s="3">
        <f t="shared" si="1"/>
        <v>0</v>
      </c>
      <c r="D36" s="3">
        <f t="shared" si="1"/>
        <v>0</v>
      </c>
      <c r="E36" s="3">
        <f t="shared" si="1"/>
        <v>0</v>
      </c>
      <c r="F36" s="3">
        <f t="shared" si="1"/>
        <v>0</v>
      </c>
      <c r="G36" s="3">
        <f t="shared" si="1"/>
        <v>0</v>
      </c>
    </row>
    <row r="37" spans="1:7" ht="12.75">
      <c r="A37" s="5">
        <v>5</v>
      </c>
      <c r="B37" s="21" t="s">
        <v>112</v>
      </c>
      <c r="C37" s="3">
        <f t="shared" si="1"/>
        <v>0</v>
      </c>
      <c r="D37" s="3">
        <f t="shared" si="1"/>
        <v>0</v>
      </c>
      <c r="E37" s="3">
        <f t="shared" si="1"/>
        <v>0</v>
      </c>
      <c r="F37" s="3">
        <f t="shared" si="1"/>
        <v>0</v>
      </c>
      <c r="G37" s="3">
        <f t="shared" si="1"/>
        <v>0</v>
      </c>
    </row>
    <row r="38" spans="2:7" ht="12.75">
      <c r="B38" s="5" t="s">
        <v>207</v>
      </c>
      <c r="C38" s="3">
        <f>SUM(C33:C37)</f>
        <v>0</v>
      </c>
      <c r="D38" s="3">
        <f>SUM(D33:D37)</f>
        <v>0</v>
      </c>
      <c r="E38" s="3">
        <f>SUM(E33:E37)</f>
        <v>0</v>
      </c>
      <c r="F38" s="3">
        <f>SUM(F33:F37)</f>
        <v>0</v>
      </c>
      <c r="G38" s="3">
        <f>SUM(G33:G37)</f>
        <v>0</v>
      </c>
    </row>
  </sheetData>
  <sheetProtection/>
  <printOptions gridLines="1" horizontalCentered="1" verticalCentered="1"/>
  <pageMargins left="0.1968503937007874" right="0.1968503937007874" top="0.984251968503937" bottom="0.3937007874015748" header="0.5905511811023623" footer="0.5118110236220472"/>
  <pageSetup horizontalDpi="300" verticalDpi="300" orientation="landscape" scale="85" r:id="rId1"/>
  <headerFooter alignWithMargins="0">
    <oddHeader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>
    <tabColor indexed="30"/>
  </sheetPr>
  <dimension ref="A1:H38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11.421875" defaultRowHeight="12.75"/>
  <cols>
    <col min="1" max="1" width="2.7109375" style="8" customWidth="1"/>
    <col min="2" max="2" width="35.421875" style="1" customWidth="1"/>
    <col min="3" max="4" width="19.28125" style="1" customWidth="1"/>
    <col min="5" max="7" width="18.28125" style="1" customWidth="1"/>
    <col min="8" max="8" width="15.28125" style="8" customWidth="1"/>
    <col min="9" max="16384" width="11.421875" style="8" customWidth="1"/>
  </cols>
  <sheetData>
    <row r="1" spans="2:7" ht="12.75">
      <c r="B1" s="10"/>
      <c r="C1" s="11">
        <v>1</v>
      </c>
      <c r="D1" s="11">
        <v>2</v>
      </c>
      <c r="E1" s="11">
        <v>3</v>
      </c>
      <c r="F1" s="11">
        <v>4</v>
      </c>
      <c r="G1" s="11">
        <v>5</v>
      </c>
    </row>
    <row r="2" spans="2:7" ht="12.75">
      <c r="B2" s="12" t="s">
        <v>107</v>
      </c>
      <c r="C2" s="13"/>
      <c r="D2" s="13"/>
      <c r="E2" s="13"/>
      <c r="F2" s="13"/>
      <c r="G2" s="13"/>
    </row>
    <row r="3" spans="2:7" ht="12.75">
      <c r="B3" s="19" t="s">
        <v>211</v>
      </c>
      <c r="C3" s="6">
        <f>Proyecciones!D170</f>
        <v>0</v>
      </c>
      <c r="D3" s="6">
        <f>Proyecciones!E170</f>
        <v>0</v>
      </c>
      <c r="E3" s="6">
        <f>Proyecciones!F170</f>
        <v>0</v>
      </c>
      <c r="F3" s="6">
        <f>Proyecciones!G170</f>
        <v>0</v>
      </c>
      <c r="G3" s="6">
        <f>Proyecciones!H170</f>
        <v>0</v>
      </c>
    </row>
    <row r="4" spans="2:7" s="9" customFormat="1" ht="12.75">
      <c r="B4" s="17" t="s">
        <v>14</v>
      </c>
      <c r="C4" s="20"/>
      <c r="D4" s="20"/>
      <c r="E4" s="20"/>
      <c r="F4" s="20"/>
      <c r="G4" s="20"/>
    </row>
    <row r="5" spans="1:7" ht="12.75">
      <c r="A5" s="5">
        <v>1</v>
      </c>
      <c r="B5" s="21" t="s">
        <v>108</v>
      </c>
      <c r="C5" s="2">
        <f>IF($A5&gt;C$1,0,IF($A5=C$1,C$3*Proyecciones!D$4,B12*Proyecciones!D$4))</f>
        <v>0</v>
      </c>
      <c r="D5" s="2">
        <f>IF($A5&gt;D$1,0,IF($A5=D$1,D$3*Proyecciones!E$4,C12*Proyecciones!E$4))</f>
        <v>0</v>
      </c>
      <c r="E5" s="2">
        <f>IF($A5&gt;E$1,0,IF($A5=E$1,E$3*Proyecciones!F$4,D12*Proyecciones!F$4))</f>
        <v>0</v>
      </c>
      <c r="F5" s="2">
        <f>IF($A5&gt;F$1,0,IF($A5=F$1,F$3*Proyecciones!G$4,E12*Proyecciones!G$4))</f>
        <v>0</v>
      </c>
      <c r="G5" s="2">
        <f>IF($A5&gt;G$1,0,IF($A5=G$1,G$3*Proyecciones!H$4,F12*Proyecciones!H$4))</f>
        <v>0</v>
      </c>
    </row>
    <row r="6" spans="1:7" ht="12.75">
      <c r="A6" s="5">
        <v>2</v>
      </c>
      <c r="B6" s="21" t="s">
        <v>109</v>
      </c>
      <c r="C6" s="2">
        <f>IF($A6&gt;C$1,0,IF($A6=C$1,C$3*Proyecciones!D$4,B13*Proyecciones!D$4))</f>
        <v>0</v>
      </c>
      <c r="D6" s="2">
        <f>IF($A6&gt;D$1,0,IF($A6=D$1,D$3*Proyecciones!E$4,C13*Proyecciones!E$4))</f>
        <v>0</v>
      </c>
      <c r="E6" s="2">
        <f>IF($A6&gt;E$1,0,IF($A6=E$1,E$3*Proyecciones!F$4,D13*Proyecciones!F$4))</f>
        <v>0</v>
      </c>
      <c r="F6" s="2">
        <f>IF($A6&gt;F$1,0,IF($A6=F$1,F$3*Proyecciones!G$4,E13*Proyecciones!G$4))</f>
        <v>0</v>
      </c>
      <c r="G6" s="2">
        <f>IF($A6&gt;G$1,0,IF($A6=G$1,G$3*Proyecciones!H$4,F13*Proyecciones!H$4))</f>
        <v>0</v>
      </c>
    </row>
    <row r="7" spans="1:7" ht="12.75">
      <c r="A7" s="5">
        <v>3</v>
      </c>
      <c r="B7" s="21" t="s">
        <v>110</v>
      </c>
      <c r="C7" s="2">
        <f>IF($A7&gt;C$1,0,IF($A7=C$1,C$3*Proyecciones!D$4,B14*Proyecciones!D$4))</f>
        <v>0</v>
      </c>
      <c r="D7" s="2">
        <f>IF($A7&gt;D$1,0,IF($A7=D$1,D$3*Proyecciones!E$4,C14*Proyecciones!E$4))</f>
        <v>0</v>
      </c>
      <c r="E7" s="2">
        <f>IF($A7&gt;E$1,0,IF($A7=E$1,E$3*Proyecciones!F$4,D14*Proyecciones!F$4))</f>
        <v>0</v>
      </c>
      <c r="F7" s="2">
        <f>IF($A7&gt;F$1,0,IF($A7=F$1,F$3*Proyecciones!G$4,E14*Proyecciones!G$4))</f>
        <v>0</v>
      </c>
      <c r="G7" s="2">
        <f>IF($A7&gt;G$1,0,IF($A7=G$1,G$3*Proyecciones!H$4,F14*Proyecciones!H$4))</f>
        <v>0</v>
      </c>
    </row>
    <row r="8" spans="1:7" ht="12.75">
      <c r="A8" s="5">
        <v>4</v>
      </c>
      <c r="B8" s="21" t="s">
        <v>111</v>
      </c>
      <c r="C8" s="2">
        <f>IF($A8&gt;C$1,0,IF($A8=C$1,C$3*Proyecciones!D$4,B15*Proyecciones!D$4))</f>
        <v>0</v>
      </c>
      <c r="D8" s="2">
        <f>IF($A8&gt;D$1,0,IF($A8=D$1,D$3*Proyecciones!E$4,C15*Proyecciones!E$4))</f>
        <v>0</v>
      </c>
      <c r="E8" s="2">
        <f>IF($A8&gt;E$1,0,IF($A8=E$1,E$3*Proyecciones!F$4,D15*Proyecciones!F$4))</f>
        <v>0</v>
      </c>
      <c r="F8" s="2">
        <f>IF($A8&gt;F$1,0,IF($A8=F$1,F$3*Proyecciones!G$4,E15*Proyecciones!G$4))</f>
        <v>0</v>
      </c>
      <c r="G8" s="2">
        <f>IF($A8&gt;G$1,0,IF($A8=G$1,G$3*Proyecciones!H$4,F15*Proyecciones!H$4))</f>
        <v>0</v>
      </c>
    </row>
    <row r="9" spans="1:7" ht="12.75">
      <c r="A9" s="5">
        <v>5</v>
      </c>
      <c r="B9" s="21" t="s">
        <v>112</v>
      </c>
      <c r="C9" s="2">
        <f>IF($A9&gt;C$1,0,IF($A9=C$1,C$3*Proyecciones!D$4,B16*Proyecciones!D$4))</f>
        <v>0</v>
      </c>
      <c r="D9" s="2">
        <f>IF($A9&gt;D$1,0,IF($A9=D$1,D$3*Proyecciones!E$4,C16*Proyecciones!E$4))</f>
        <v>0</v>
      </c>
      <c r="E9" s="2">
        <f>IF($A9&gt;E$1,0,IF($A9=E$1,E$3*Proyecciones!F$4,D16*Proyecciones!F$4))</f>
        <v>0</v>
      </c>
      <c r="F9" s="2">
        <f>IF($A9&gt;F$1,0,IF($A9=F$1,F$3*Proyecciones!G$4,E16*Proyecciones!G$4))</f>
        <v>0</v>
      </c>
      <c r="G9" s="2">
        <f>IF($A9&gt;G$1,0,IF($A9=G$1,G$3*Proyecciones!H$4,F16*Proyecciones!H$4))</f>
        <v>0</v>
      </c>
    </row>
    <row r="10" spans="2:7" ht="12.75">
      <c r="B10" s="5" t="s">
        <v>113</v>
      </c>
      <c r="C10" s="2">
        <f>SUM(C5:C9)</f>
        <v>0</v>
      </c>
      <c r="D10" s="2">
        <f>SUM(D5:D9)</f>
        <v>0</v>
      </c>
      <c r="E10" s="2">
        <f>SUM(E5:E9)</f>
        <v>0</v>
      </c>
      <c r="F10" s="2">
        <f>SUM(F5:F9)</f>
        <v>0</v>
      </c>
      <c r="G10" s="2">
        <f>SUM(G5:G9)</f>
        <v>0</v>
      </c>
    </row>
    <row r="11" spans="2:7" s="22" customFormat="1" ht="12.75">
      <c r="B11" s="17" t="s">
        <v>114</v>
      </c>
      <c r="C11" s="23"/>
      <c r="D11" s="23"/>
      <c r="E11" s="23"/>
      <c r="F11" s="23"/>
      <c r="G11" s="23"/>
    </row>
    <row r="12" spans="1:7" ht="12.75">
      <c r="A12" s="5">
        <v>1</v>
      </c>
      <c r="B12" s="21" t="s">
        <v>108</v>
      </c>
      <c r="C12" s="2">
        <f aca="true" t="shared" si="0" ref="C12:G16">IF($A12&gt;C$1,0,IF($A12=C$1,C$3+C5,B12+C5))</f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</row>
    <row r="13" spans="1:7" ht="12.75">
      <c r="A13" s="5">
        <v>2</v>
      </c>
      <c r="B13" s="21" t="s">
        <v>109</v>
      </c>
      <c r="C13" s="2">
        <f t="shared" si="0"/>
        <v>0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</row>
    <row r="14" spans="1:7" ht="12.75">
      <c r="A14" s="5">
        <v>3</v>
      </c>
      <c r="B14" s="21" t="s">
        <v>110</v>
      </c>
      <c r="C14" s="2">
        <f t="shared" si="0"/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</row>
    <row r="15" spans="1:7" ht="12.75">
      <c r="A15" s="5">
        <v>4</v>
      </c>
      <c r="B15" s="21" t="s">
        <v>111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</row>
    <row r="16" spans="1:7" ht="12.75">
      <c r="A16" s="5">
        <v>5</v>
      </c>
      <c r="B16" s="21" t="s">
        <v>112</v>
      </c>
      <c r="C16" s="2">
        <f t="shared" si="0"/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</row>
    <row r="17" spans="2:7" ht="12.75">
      <c r="B17" s="5" t="s">
        <v>115</v>
      </c>
      <c r="C17" s="3">
        <f>SUM(C12:C16)</f>
        <v>0</v>
      </c>
      <c r="D17" s="3">
        <f>SUM(D12:D16)</f>
        <v>0</v>
      </c>
      <c r="E17" s="3">
        <f>SUM(E12:E16)</f>
        <v>0</v>
      </c>
      <c r="F17" s="3">
        <f>SUM(F12:F16)</f>
        <v>0</v>
      </c>
      <c r="G17" s="3">
        <f>SUM(G12:G16)</f>
        <v>0</v>
      </c>
    </row>
    <row r="18" spans="2:7" s="22" customFormat="1" ht="13.5" customHeight="1">
      <c r="B18" s="17" t="s">
        <v>202</v>
      </c>
      <c r="C18" s="23"/>
      <c r="D18" s="23"/>
      <c r="E18" s="23"/>
      <c r="F18" s="23"/>
      <c r="G18" s="23"/>
    </row>
    <row r="19" spans="1:7" ht="12.75">
      <c r="A19" s="5">
        <v>1</v>
      </c>
      <c r="B19" s="21" t="s">
        <v>108</v>
      </c>
      <c r="C19" s="2">
        <f>IF(OR($A19&gt;C$1,Bases!$B$17+$A19-1&lt;C$1),0,C12/Bases!$B$17)</f>
        <v>0</v>
      </c>
      <c r="D19" s="2">
        <f>IF(OR($A19&gt;D$1,Bases!$B$17+$A19-1&lt;D$1),0,D12/Bases!$B$17)</f>
        <v>0</v>
      </c>
      <c r="E19" s="2">
        <f>IF(OR($A19&gt;E$1,Bases!$B$17+$A19-1&lt;E$1),0,E12/Bases!$B$17)</f>
        <v>0</v>
      </c>
      <c r="F19" s="2">
        <f>IF(OR($A19&gt;F$1,Bases!$B$17+$A19-1&lt;F$1),0,F12/Bases!$B$17)</f>
        <v>0</v>
      </c>
      <c r="G19" s="2">
        <f>IF(OR($A19&gt;G$1,Bases!$B$17+$A19-1&lt;G$1),0,G12/Bases!$B$17)</f>
        <v>0</v>
      </c>
    </row>
    <row r="20" spans="1:7" ht="12.75">
      <c r="A20" s="5">
        <v>2</v>
      </c>
      <c r="B20" s="21" t="s">
        <v>109</v>
      </c>
      <c r="C20" s="2">
        <f>IF(OR($A20&gt;C$1,Bases!$B$17+$A20-1&lt;C$1),0,C13/Bases!$B$17)</f>
        <v>0</v>
      </c>
      <c r="D20" s="2">
        <f>IF(OR($A20&gt;D$1,Bases!$B$17+$A20-1&lt;D$1),0,D13/Bases!$B$17)</f>
        <v>0</v>
      </c>
      <c r="E20" s="2">
        <f>IF(OR($A20&gt;E$1,Bases!$B$17+$A20-1&lt;E$1),0,E13/Bases!$B$17)</f>
        <v>0</v>
      </c>
      <c r="F20" s="2">
        <f>IF(OR($A20&gt;F$1,Bases!$B$17+$A20-1&lt;F$1),0,F13/Bases!$B$17)</f>
        <v>0</v>
      </c>
      <c r="G20" s="2">
        <f>IF(OR($A20&gt;G$1,Bases!$B$17+$A20-1&lt;G$1),0,G13/Bases!$B$17)</f>
        <v>0</v>
      </c>
    </row>
    <row r="21" spans="1:7" ht="12.75">
      <c r="A21" s="5">
        <v>3</v>
      </c>
      <c r="B21" s="21" t="s">
        <v>110</v>
      </c>
      <c r="C21" s="2">
        <f>IF(OR($A21&gt;C$1,Bases!$B$17+$A21-1&lt;C$1),0,C14/Bases!$B$17)</f>
        <v>0</v>
      </c>
      <c r="D21" s="2">
        <f>IF(OR($A21&gt;D$1,Bases!$B$17+$A21-1&lt;D$1),0,D14/Bases!$B$17)</f>
        <v>0</v>
      </c>
      <c r="E21" s="2">
        <f>IF(OR($A21&gt;E$1,Bases!$B$17+$A21-1&lt;E$1),0,E14/Bases!$B$17)</f>
        <v>0</v>
      </c>
      <c r="F21" s="2">
        <f>IF(OR($A21&gt;F$1,Bases!$B$17+$A21-1&lt;F$1),0,F14/Bases!$B$17)</f>
        <v>0</v>
      </c>
      <c r="G21" s="2">
        <f>IF(OR($A21&gt;G$1,Bases!$B$17+$A21-1&lt;G$1),0,G14/Bases!$B$17)</f>
        <v>0</v>
      </c>
    </row>
    <row r="22" spans="1:7" ht="12.75">
      <c r="A22" s="5">
        <v>4</v>
      </c>
      <c r="B22" s="21" t="s">
        <v>111</v>
      </c>
      <c r="C22" s="2">
        <f>IF(OR($A22&gt;C$1,Bases!$B$17+$A22-1&lt;C$1),0,C15/Bases!$B$17)</f>
        <v>0</v>
      </c>
      <c r="D22" s="2">
        <f>IF(OR($A22&gt;D$1,Bases!$B$17+$A22-1&lt;D$1),0,D15/Bases!$B$17)</f>
        <v>0</v>
      </c>
      <c r="E22" s="2">
        <f>IF(OR($A22&gt;E$1,Bases!$B$17+$A22-1&lt;E$1),0,E15/Bases!$B$17)</f>
        <v>0</v>
      </c>
      <c r="F22" s="2">
        <f>IF(OR($A22&gt;F$1,Bases!$B$17+$A22-1&lt;F$1),0,F15/Bases!$B$17)</f>
        <v>0</v>
      </c>
      <c r="G22" s="2">
        <f>IF(OR($A22&gt;G$1,Bases!$B$17+$A22-1&lt;G$1),0,G15/Bases!$B$17)</f>
        <v>0</v>
      </c>
    </row>
    <row r="23" spans="1:7" ht="12.75">
      <c r="A23" s="5">
        <v>5</v>
      </c>
      <c r="B23" s="21" t="s">
        <v>112</v>
      </c>
      <c r="C23" s="2">
        <f>IF(OR($A23&gt;C$1,Bases!$B$17+$A23-1&lt;C$1),0,C16/Bases!$B$17)</f>
        <v>0</v>
      </c>
      <c r="D23" s="2">
        <f>IF(OR($A23&gt;D$1,Bases!$B$17+$A23-1&lt;D$1),0,D16/Bases!$B$17)</f>
        <v>0</v>
      </c>
      <c r="E23" s="2">
        <f>IF(OR($A23&gt;E$1,Bases!$B$17+$A23-1&lt;E$1),0,E16/Bases!$B$17)</f>
        <v>0</v>
      </c>
      <c r="F23" s="2">
        <f>IF(OR($A23&gt;F$1,Bases!$B$17+$A23-1&lt;F$1),0,F16/Bases!$B$17)</f>
        <v>0</v>
      </c>
      <c r="G23" s="2">
        <f>IF(OR($A23&gt;G$1,Bases!$B$17+$A23-1&lt;G$1),0,G16/Bases!$B$17)</f>
        <v>0</v>
      </c>
    </row>
    <row r="24" spans="2:7" ht="12.75">
      <c r="B24" s="5" t="s">
        <v>209</v>
      </c>
      <c r="C24" s="3">
        <f>SUM(C19:C23)</f>
        <v>0</v>
      </c>
      <c r="D24" s="3">
        <f>SUM(D19:D23)</f>
        <v>0</v>
      </c>
      <c r="E24" s="3">
        <f>SUM(E19:E23)</f>
        <v>0</v>
      </c>
      <c r="F24" s="3">
        <f>SUM(F19:F23)</f>
        <v>0</v>
      </c>
      <c r="G24" s="3">
        <f>SUM(G19:G23)</f>
        <v>0</v>
      </c>
    </row>
    <row r="25" spans="2:7" s="22" customFormat="1" ht="13.5" customHeight="1">
      <c r="B25" s="17" t="s">
        <v>204</v>
      </c>
      <c r="C25" s="23"/>
      <c r="D25" s="23"/>
      <c r="E25" s="23"/>
      <c r="F25" s="23"/>
      <c r="G25" s="23"/>
    </row>
    <row r="26" spans="1:7" ht="12.75">
      <c r="A26" s="5">
        <v>1</v>
      </c>
      <c r="B26" s="24" t="s">
        <v>108</v>
      </c>
      <c r="C26" s="2">
        <f>IF($A26&gt;=C$1,0,B33*Proyecciones!D$4)</f>
        <v>0</v>
      </c>
      <c r="D26" s="2">
        <f>IF($A26&gt;=D$1,0,C33*Proyecciones!E$4)</f>
        <v>0</v>
      </c>
      <c r="E26" s="2">
        <f>IF($A26&gt;=E$1,0,D33*Proyecciones!F$4)</f>
        <v>0</v>
      </c>
      <c r="F26" s="2">
        <f>IF($A26&gt;=F$1,0,E33*Proyecciones!G$4)</f>
        <v>0</v>
      </c>
      <c r="G26" s="2">
        <f>IF($A26&gt;=G$1,0,F33*Proyecciones!H$4)</f>
        <v>0</v>
      </c>
    </row>
    <row r="27" spans="1:7" ht="12.75">
      <c r="A27" s="5">
        <v>2</v>
      </c>
      <c r="B27" s="24" t="s">
        <v>109</v>
      </c>
      <c r="C27" s="2">
        <f>IF($A27&gt;=C$1,0,B34*Proyecciones!D$4)</f>
        <v>0</v>
      </c>
      <c r="D27" s="2">
        <f>IF($A27&gt;=D$1,0,C34*Proyecciones!E$4)</f>
        <v>0</v>
      </c>
      <c r="E27" s="2">
        <f>IF($A27&gt;=E$1,0,D34*Proyecciones!F$4)</f>
        <v>0</v>
      </c>
      <c r="F27" s="2">
        <f>IF($A27&gt;=F$1,0,E34*Proyecciones!G$4)</f>
        <v>0</v>
      </c>
      <c r="G27" s="2">
        <f>IF($A27&gt;=G$1,0,F34*Proyecciones!H$4)</f>
        <v>0</v>
      </c>
    </row>
    <row r="28" spans="1:7" ht="12.75">
      <c r="A28" s="5">
        <v>3</v>
      </c>
      <c r="B28" s="24" t="s">
        <v>110</v>
      </c>
      <c r="C28" s="2">
        <f>IF($A28&gt;=C$1,0,B35*Proyecciones!D$4)</f>
        <v>0</v>
      </c>
      <c r="D28" s="2">
        <f>IF($A28&gt;=D$1,0,C35*Proyecciones!E$4)</f>
        <v>0</v>
      </c>
      <c r="E28" s="2">
        <f>IF($A28&gt;=E$1,0,D35*Proyecciones!F$4)</f>
        <v>0</v>
      </c>
      <c r="F28" s="2">
        <f>IF($A28&gt;=F$1,0,E35*Proyecciones!G$4)</f>
        <v>0</v>
      </c>
      <c r="G28" s="2">
        <f>IF($A28&gt;=G$1,0,F35*Proyecciones!H$4)</f>
        <v>0</v>
      </c>
    </row>
    <row r="29" spans="1:7" ht="12.75">
      <c r="A29" s="5">
        <v>4</v>
      </c>
      <c r="B29" s="24" t="s">
        <v>111</v>
      </c>
      <c r="C29" s="2">
        <f>IF($A29&gt;=C$1,0,B36*Proyecciones!D$4)</f>
        <v>0</v>
      </c>
      <c r="D29" s="2">
        <f>IF($A29&gt;=D$1,0,C36*Proyecciones!E$4)</f>
        <v>0</v>
      </c>
      <c r="E29" s="2">
        <f>IF($A29&gt;=E$1,0,D36*Proyecciones!F$4)</f>
        <v>0</v>
      </c>
      <c r="F29" s="2">
        <f>IF($A29&gt;=F$1,0,E36*Proyecciones!G$4)</f>
        <v>0</v>
      </c>
      <c r="G29" s="2">
        <f>IF($A29&gt;=G$1,0,F36*Proyecciones!H$4)</f>
        <v>0</v>
      </c>
    </row>
    <row r="30" spans="1:7" ht="12.75">
      <c r="A30" s="5">
        <v>5</v>
      </c>
      <c r="B30" s="24" t="s">
        <v>112</v>
      </c>
      <c r="C30" s="2">
        <f>IF($A30&gt;=C$1,0,B37*Proyecciones!D$4)</f>
        <v>0</v>
      </c>
      <c r="D30" s="2">
        <f>IF($A30&gt;=D$1,0,C37*Proyecciones!E$4)</f>
        <v>0</v>
      </c>
      <c r="E30" s="2">
        <f>IF($A30&gt;=E$1,0,D37*Proyecciones!F$4)</f>
        <v>0</v>
      </c>
      <c r="F30" s="2">
        <f>IF($A30&gt;=F$1,0,E37*Proyecciones!G$4)</f>
        <v>0</v>
      </c>
      <c r="G30" s="2">
        <f>IF($A30&gt;=G$1,0,F37*Proyecciones!H$4)</f>
        <v>0</v>
      </c>
    </row>
    <row r="31" spans="2:7" ht="12.75">
      <c r="B31" s="7" t="s">
        <v>208</v>
      </c>
      <c r="C31" s="2">
        <f>SUM(C26:C30)</f>
        <v>0</v>
      </c>
      <c r="D31" s="2">
        <f>SUM(D26:D30)</f>
        <v>0</v>
      </c>
      <c r="E31" s="2">
        <f>SUM(E26:E30)</f>
        <v>0</v>
      </c>
      <c r="F31" s="2">
        <f>SUM(F26:F30)</f>
        <v>0</v>
      </c>
      <c r="G31" s="2">
        <f>SUM(G26:G30)</f>
        <v>0</v>
      </c>
    </row>
    <row r="32" spans="2:7" s="22" customFormat="1" ht="13.5" customHeight="1">
      <c r="B32" s="17" t="s">
        <v>205</v>
      </c>
      <c r="C32" s="23"/>
      <c r="D32" s="23"/>
      <c r="E32" s="23"/>
      <c r="F32" s="23"/>
      <c r="G32" s="23"/>
    </row>
    <row r="33" spans="1:8" ht="12.75">
      <c r="A33" s="5">
        <v>1</v>
      </c>
      <c r="B33" s="21" t="s">
        <v>108</v>
      </c>
      <c r="C33" s="3">
        <f aca="true" t="shared" si="1" ref="C33:G37">IF($A33&gt;C$1,0,IF($A33=C$1,C19,B33+C19+C26))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25"/>
    </row>
    <row r="34" spans="1:7" ht="12.75">
      <c r="A34" s="5">
        <v>2</v>
      </c>
      <c r="B34" s="21" t="s">
        <v>109</v>
      </c>
      <c r="C34" s="3">
        <f t="shared" si="1"/>
        <v>0</v>
      </c>
      <c r="D34" s="3">
        <f t="shared" si="1"/>
        <v>0</v>
      </c>
      <c r="E34" s="3">
        <f t="shared" si="1"/>
        <v>0</v>
      </c>
      <c r="F34" s="3">
        <f t="shared" si="1"/>
        <v>0</v>
      </c>
      <c r="G34" s="3">
        <f t="shared" si="1"/>
        <v>0</v>
      </c>
    </row>
    <row r="35" spans="1:7" ht="12.75">
      <c r="A35" s="5">
        <v>3</v>
      </c>
      <c r="B35" s="21" t="s">
        <v>110</v>
      </c>
      <c r="C35" s="3">
        <f t="shared" si="1"/>
        <v>0</v>
      </c>
      <c r="D35" s="3">
        <f t="shared" si="1"/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</row>
    <row r="36" spans="1:7" ht="12.75">
      <c r="A36" s="5">
        <v>4</v>
      </c>
      <c r="B36" s="21" t="s">
        <v>111</v>
      </c>
      <c r="C36" s="3">
        <f t="shared" si="1"/>
        <v>0</v>
      </c>
      <c r="D36" s="3">
        <f t="shared" si="1"/>
        <v>0</v>
      </c>
      <c r="E36" s="3">
        <f t="shared" si="1"/>
        <v>0</v>
      </c>
      <c r="F36" s="3">
        <f t="shared" si="1"/>
        <v>0</v>
      </c>
      <c r="G36" s="3">
        <f t="shared" si="1"/>
        <v>0</v>
      </c>
    </row>
    <row r="37" spans="1:7" ht="12.75">
      <c r="A37" s="5">
        <v>5</v>
      </c>
      <c r="B37" s="21" t="s">
        <v>112</v>
      </c>
      <c r="C37" s="3">
        <f t="shared" si="1"/>
        <v>0</v>
      </c>
      <c r="D37" s="3">
        <f t="shared" si="1"/>
        <v>0</v>
      </c>
      <c r="E37" s="3">
        <f t="shared" si="1"/>
        <v>0</v>
      </c>
      <c r="F37" s="3">
        <f t="shared" si="1"/>
        <v>0</v>
      </c>
      <c r="G37" s="3">
        <f t="shared" si="1"/>
        <v>0</v>
      </c>
    </row>
    <row r="38" spans="2:7" ht="12.75">
      <c r="B38" s="5" t="s">
        <v>207</v>
      </c>
      <c r="C38" s="3">
        <f>SUM(C33:C37)</f>
        <v>0</v>
      </c>
      <c r="D38" s="3">
        <f>SUM(D33:D37)</f>
        <v>0</v>
      </c>
      <c r="E38" s="3">
        <f>SUM(E33:E37)</f>
        <v>0</v>
      </c>
      <c r="F38" s="3">
        <f>SUM(F33:F37)</f>
        <v>0</v>
      </c>
      <c r="G38" s="3">
        <f>SUM(G33:G37)</f>
        <v>0</v>
      </c>
    </row>
  </sheetData>
  <sheetProtection/>
  <printOptions gridLines="1" horizontalCentered="1" verticalCentered="1"/>
  <pageMargins left="0.1968503937007874" right="0.1968503937007874" top="0.984251968503937" bottom="0.3937007874015748" header="0.5905511811023623" footer="0.5118110236220472"/>
  <pageSetup horizontalDpi="300" verticalDpi="300" orientation="landscape" scale="85" r:id="rId1"/>
  <headerFooter alignWithMargins="0">
    <oddHeader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8">
    <tabColor indexed="30"/>
  </sheetPr>
  <dimension ref="A1:I43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11.421875" defaultRowHeight="12.75"/>
  <cols>
    <col min="1" max="1" width="2.7109375" style="8" customWidth="1"/>
    <col min="2" max="2" width="35.421875" style="1" customWidth="1"/>
    <col min="3" max="5" width="19.28125" style="1" customWidth="1"/>
    <col min="6" max="8" width="18.28125" style="1" customWidth="1"/>
    <col min="9" max="9" width="15.28125" style="8" customWidth="1"/>
    <col min="10" max="16384" width="11.421875" style="8" customWidth="1"/>
  </cols>
  <sheetData>
    <row r="1" spans="2:8" ht="12.75">
      <c r="B1" s="10"/>
      <c r="C1" s="11">
        <v>0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</row>
    <row r="2" spans="2:8" ht="12.75">
      <c r="B2" s="12" t="s">
        <v>247</v>
      </c>
      <c r="C2" s="13"/>
      <c r="D2" s="13"/>
      <c r="E2" s="13"/>
      <c r="F2" s="13"/>
      <c r="G2" s="13"/>
      <c r="H2" s="13"/>
    </row>
    <row r="3" spans="2:8" ht="12.75">
      <c r="B3" s="19" t="s">
        <v>211</v>
      </c>
      <c r="C3" s="6">
        <f>Proyecciones!C99</f>
        <v>0</v>
      </c>
      <c r="D3" s="6">
        <f>Proyecciones!D99</f>
        <v>0</v>
      </c>
      <c r="E3" s="6">
        <f>Proyecciones!E99</f>
        <v>0</v>
      </c>
      <c r="F3" s="6">
        <f>Proyecciones!F99</f>
        <v>0</v>
      </c>
      <c r="G3" s="6">
        <f>Proyecciones!G99</f>
        <v>0</v>
      </c>
      <c r="H3" s="6">
        <f>Proyecciones!H99</f>
        <v>0</v>
      </c>
    </row>
    <row r="4" spans="2:8" s="9" customFormat="1" ht="12.75">
      <c r="B4" s="17" t="s">
        <v>14</v>
      </c>
      <c r="C4" s="20"/>
      <c r="D4" s="20"/>
      <c r="E4" s="20"/>
      <c r="F4" s="20"/>
      <c r="G4" s="20"/>
      <c r="H4" s="20"/>
    </row>
    <row r="5" spans="1:8" s="9" customFormat="1" ht="12.75">
      <c r="A5" s="5">
        <v>0</v>
      </c>
      <c r="B5" s="21" t="s">
        <v>238</v>
      </c>
      <c r="C5" s="2">
        <f>IF($A5&gt;C$1,0,IF($A5=C$1,C$3*Proyecciones!C$4,B13*Proyecciones!C$4))</f>
        <v>0</v>
      </c>
      <c r="D5" s="2">
        <f>IF($A5&gt;D$1,0,IF($A5=D$1,D$3*Proyecciones!D$4,C13*Proyecciones!D$4))</f>
        <v>0</v>
      </c>
      <c r="E5" s="2">
        <f>IF($A5&gt;E$1,0,IF($A5=E$1,E$3*Proyecciones!E$4,D13*Proyecciones!E$4))</f>
        <v>0</v>
      </c>
      <c r="F5" s="2">
        <f>IF($A5&gt;F$1,0,IF($A5=F$1,F$3*Proyecciones!F$4,E13*Proyecciones!F$4))</f>
        <v>0</v>
      </c>
      <c r="G5" s="2">
        <f>IF($A5&gt;G$1,0,IF($A5=G$1,G$3*Proyecciones!G$4,F13*Proyecciones!G$4))</f>
        <v>0</v>
      </c>
      <c r="H5" s="2">
        <f>IF($A5&gt;H$1,0,IF($A5=H$1,H$3*Proyecciones!H$4,G13*Proyecciones!H$4))</f>
        <v>0</v>
      </c>
    </row>
    <row r="6" spans="1:8" ht="12.75">
      <c r="A6" s="5">
        <v>1</v>
      </c>
      <c r="B6" s="21" t="s">
        <v>108</v>
      </c>
      <c r="C6" s="2">
        <f>IF($A6&gt;C$1,0,IF($A6=C$1,C$3*Proyecciones!C$4,B14*Proyecciones!C$4))</f>
        <v>0</v>
      </c>
      <c r="D6" s="2">
        <f>IF($A6&gt;D$1,0,IF($A6=D$1,D$3*Proyecciones!D$4,C14*Proyecciones!D$4))</f>
        <v>0</v>
      </c>
      <c r="E6" s="2">
        <f>IF($A6&gt;E$1,0,IF($A6=E$1,E$3*Proyecciones!E$4,D14*Proyecciones!E$4))</f>
        <v>0</v>
      </c>
      <c r="F6" s="2">
        <f>IF($A6&gt;F$1,0,IF($A6=F$1,F$3*Proyecciones!F$4,E14*Proyecciones!F$4))</f>
        <v>0</v>
      </c>
      <c r="G6" s="2">
        <f>IF($A6&gt;G$1,0,IF($A6=G$1,G$3*Proyecciones!G$4,F14*Proyecciones!G$4))</f>
        <v>0</v>
      </c>
      <c r="H6" s="2">
        <f>IF($A6&gt;H$1,0,IF($A6=H$1,H$3*Proyecciones!H$4,G14*Proyecciones!H$4))</f>
        <v>0</v>
      </c>
    </row>
    <row r="7" spans="1:8" ht="12.75">
      <c r="A7" s="5">
        <v>2</v>
      </c>
      <c r="B7" s="21" t="s">
        <v>109</v>
      </c>
      <c r="C7" s="2">
        <f>IF($A7&gt;C$1,0,IF($A7=C$1,C$3*Proyecciones!C$4,B15*Proyecciones!C$4))</f>
        <v>0</v>
      </c>
      <c r="D7" s="2">
        <f>IF($A7&gt;D$1,0,IF($A7=D$1,D$3*Proyecciones!D$4,C15*Proyecciones!D$4))</f>
        <v>0</v>
      </c>
      <c r="E7" s="2">
        <f>IF($A7&gt;E$1,0,IF($A7=E$1,E$3*Proyecciones!E$4,D15*Proyecciones!E$4))</f>
        <v>0</v>
      </c>
      <c r="F7" s="2">
        <f>IF($A7&gt;F$1,0,IF($A7=F$1,F$3*Proyecciones!F$4,E15*Proyecciones!F$4))</f>
        <v>0</v>
      </c>
      <c r="G7" s="2">
        <f>IF($A7&gt;G$1,0,IF($A7=G$1,G$3*Proyecciones!G$4,F15*Proyecciones!G$4))</f>
        <v>0</v>
      </c>
      <c r="H7" s="2">
        <f>IF($A7&gt;H$1,0,IF($A7=H$1,H$3*Proyecciones!H$4,G15*Proyecciones!H$4))</f>
        <v>0</v>
      </c>
    </row>
    <row r="8" spans="1:8" ht="12.75">
      <c r="A8" s="5">
        <v>3</v>
      </c>
      <c r="B8" s="21" t="s">
        <v>110</v>
      </c>
      <c r="C8" s="2">
        <f>IF($A8&gt;C$1,0,IF($A8=C$1,C$3*Proyecciones!C$4,B16*Proyecciones!C$4))</f>
        <v>0</v>
      </c>
      <c r="D8" s="2">
        <f>IF($A8&gt;D$1,0,IF($A8=D$1,D$3*Proyecciones!D$4,C16*Proyecciones!D$4))</f>
        <v>0</v>
      </c>
      <c r="E8" s="2">
        <f>IF($A8&gt;E$1,0,IF($A8=E$1,E$3*Proyecciones!E$4,D16*Proyecciones!E$4))</f>
        <v>0</v>
      </c>
      <c r="F8" s="2">
        <f>IF($A8&gt;F$1,0,IF($A8=F$1,F$3*Proyecciones!F$4,E16*Proyecciones!F$4))</f>
        <v>0</v>
      </c>
      <c r="G8" s="2">
        <f>IF($A8&gt;G$1,0,IF($A8=G$1,G$3*Proyecciones!G$4,F16*Proyecciones!G$4))</f>
        <v>0</v>
      </c>
      <c r="H8" s="2">
        <f>IF($A8&gt;H$1,0,IF($A8=H$1,H$3*Proyecciones!H$4,G16*Proyecciones!H$4))</f>
        <v>0</v>
      </c>
    </row>
    <row r="9" spans="1:8" ht="12.75">
      <c r="A9" s="5">
        <v>4</v>
      </c>
      <c r="B9" s="21" t="s">
        <v>111</v>
      </c>
      <c r="C9" s="2">
        <f>IF($A9&gt;C$1,0,IF($A9=C$1,C$3*Proyecciones!C$4,B17*Proyecciones!C$4))</f>
        <v>0</v>
      </c>
      <c r="D9" s="2">
        <f>IF($A9&gt;D$1,0,IF($A9=D$1,D$3*Proyecciones!D$4,C17*Proyecciones!D$4))</f>
        <v>0</v>
      </c>
      <c r="E9" s="2">
        <f>IF($A9&gt;E$1,0,IF($A9=E$1,E$3*Proyecciones!E$4,D17*Proyecciones!E$4))</f>
        <v>0</v>
      </c>
      <c r="F9" s="2">
        <f>IF($A9&gt;F$1,0,IF($A9=F$1,F$3*Proyecciones!F$4,E17*Proyecciones!F$4))</f>
        <v>0</v>
      </c>
      <c r="G9" s="2">
        <f>IF($A9&gt;G$1,0,IF($A9=G$1,G$3*Proyecciones!G$4,F17*Proyecciones!G$4))</f>
        <v>0</v>
      </c>
      <c r="H9" s="2">
        <f>IF($A9&gt;H$1,0,IF($A9=H$1,H$3*Proyecciones!H$4,G17*Proyecciones!H$4))</f>
        <v>0</v>
      </c>
    </row>
    <row r="10" spans="1:8" ht="12.75">
      <c r="A10" s="5">
        <v>5</v>
      </c>
      <c r="B10" s="21" t="s">
        <v>112</v>
      </c>
      <c r="C10" s="2">
        <f>IF($A10&gt;C$1,0,IF($A10=C$1,C$3*Proyecciones!C$4,B18*Proyecciones!C$4))</f>
        <v>0</v>
      </c>
      <c r="D10" s="2">
        <f>IF($A10&gt;D$1,0,IF($A10=D$1,D$3*Proyecciones!D$4,C18*Proyecciones!D$4))</f>
        <v>0</v>
      </c>
      <c r="E10" s="2">
        <f>IF($A10&gt;E$1,0,IF($A10=E$1,E$3*Proyecciones!E$4,D18*Proyecciones!E$4))</f>
        <v>0</v>
      </c>
      <c r="F10" s="2">
        <f>IF($A10&gt;F$1,0,IF($A10=F$1,F$3*Proyecciones!F$4,E18*Proyecciones!F$4))</f>
        <v>0</v>
      </c>
      <c r="G10" s="2">
        <f>IF($A10&gt;G$1,0,IF($A10=G$1,G$3*Proyecciones!G$4,F18*Proyecciones!G$4))</f>
        <v>0</v>
      </c>
      <c r="H10" s="2">
        <f>IF($A10&gt;H$1,0,IF($A10=H$1,H$3*Proyecciones!H$4,G18*Proyecciones!H$4))</f>
        <v>0</v>
      </c>
    </row>
    <row r="11" spans="2:8" ht="12.75">
      <c r="B11" s="5" t="s">
        <v>113</v>
      </c>
      <c r="C11" s="2">
        <f aca="true" t="shared" si="0" ref="C11:H11">SUM(C5:C10)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</row>
    <row r="12" spans="2:8" s="22" customFormat="1" ht="12.75">
      <c r="B12" s="17" t="s">
        <v>114</v>
      </c>
      <c r="C12" s="23"/>
      <c r="D12" s="23"/>
      <c r="E12" s="23"/>
      <c r="F12" s="23"/>
      <c r="G12" s="23"/>
      <c r="H12" s="23"/>
    </row>
    <row r="13" spans="1:8" s="22" customFormat="1" ht="12.75">
      <c r="A13" s="5">
        <v>0</v>
      </c>
      <c r="B13" s="21" t="s">
        <v>238</v>
      </c>
      <c r="C13" s="2">
        <f aca="true" t="shared" si="1" ref="C13:H16">IF($A13&gt;C$1,0,IF($A13=C$1,C$3+C5,B13+C5))</f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</row>
    <row r="14" spans="1:8" ht="12.75">
      <c r="A14" s="5">
        <v>1</v>
      </c>
      <c r="B14" s="21" t="s">
        <v>108</v>
      </c>
      <c r="C14" s="2">
        <f t="shared" si="1"/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</row>
    <row r="15" spans="1:8" ht="12.75">
      <c r="A15" s="5">
        <v>2</v>
      </c>
      <c r="B15" s="21" t="s">
        <v>109</v>
      </c>
      <c r="C15" s="2">
        <f t="shared" si="1"/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 t="shared" si="1"/>
        <v>0</v>
      </c>
    </row>
    <row r="16" spans="1:8" ht="12.75">
      <c r="A16" s="5">
        <v>3</v>
      </c>
      <c r="B16" s="21" t="s">
        <v>110</v>
      </c>
      <c r="C16" s="2">
        <f t="shared" si="1"/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</row>
    <row r="17" spans="1:8" ht="12.75">
      <c r="A17" s="5">
        <v>4</v>
      </c>
      <c r="B17" s="21" t="s">
        <v>111</v>
      </c>
      <c r="C17" s="2">
        <f aca="true" t="shared" si="2" ref="C17:H17">IF($A17&gt;C$1,0,IF($A17=C$1,C$3+C9,B17+C9))</f>
        <v>0</v>
      </c>
      <c r="D17" s="2">
        <f t="shared" si="2"/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</row>
    <row r="18" spans="1:8" ht="12.75">
      <c r="A18" s="5">
        <v>5</v>
      </c>
      <c r="B18" s="21" t="s">
        <v>112</v>
      </c>
      <c r="C18" s="2">
        <f aca="true" t="shared" si="3" ref="C18:H18">IF($A18&gt;C$1,0,IF($A18=C$1,C$3+C10,B18+C10))</f>
        <v>0</v>
      </c>
      <c r="D18" s="2">
        <f t="shared" si="3"/>
        <v>0</v>
      </c>
      <c r="E18" s="2">
        <f t="shared" si="3"/>
        <v>0</v>
      </c>
      <c r="F18" s="2">
        <f t="shared" si="3"/>
        <v>0</v>
      </c>
      <c r="G18" s="2">
        <f t="shared" si="3"/>
        <v>0</v>
      </c>
      <c r="H18" s="2">
        <f t="shared" si="3"/>
        <v>0</v>
      </c>
    </row>
    <row r="19" spans="2:8" ht="12.75">
      <c r="B19" s="5" t="s">
        <v>115</v>
      </c>
      <c r="C19" s="2">
        <f aca="true" t="shared" si="4" ref="C19:H19">SUM(C13:C18)</f>
        <v>0</v>
      </c>
      <c r="D19" s="2">
        <f t="shared" si="4"/>
        <v>0</v>
      </c>
      <c r="E19" s="2">
        <f t="shared" si="4"/>
        <v>0</v>
      </c>
      <c r="F19" s="2">
        <f t="shared" si="4"/>
        <v>0</v>
      </c>
      <c r="G19" s="2">
        <f t="shared" si="4"/>
        <v>0</v>
      </c>
      <c r="H19" s="2">
        <f t="shared" si="4"/>
        <v>0</v>
      </c>
    </row>
    <row r="20" spans="2:8" s="22" customFormat="1" ht="13.5" customHeight="1">
      <c r="B20" s="17" t="s">
        <v>202</v>
      </c>
      <c r="C20" s="23"/>
      <c r="D20" s="23"/>
      <c r="E20" s="23"/>
      <c r="F20" s="23"/>
      <c r="G20" s="23"/>
      <c r="H20" s="23"/>
    </row>
    <row r="21" spans="1:8" ht="12.75">
      <c r="A21" s="5">
        <v>0</v>
      </c>
      <c r="B21" s="21" t="s">
        <v>238</v>
      </c>
      <c r="C21" s="2">
        <f>IF(OR($A21&gt;C$1,Bases!$B$21+$A21-1&lt;C$1),0,C13/Bases!$B$21)</f>
        <v>0</v>
      </c>
      <c r="D21" s="2">
        <f>IF(OR($A21&gt;D$1,Bases!$B$21+$A21-1&lt;D$1),0,D13/Bases!$B$21)</f>
        <v>0</v>
      </c>
      <c r="E21" s="2">
        <f>IF(OR($A21&gt;E$1,Bases!$B$21+$A21-1&lt;E$1),0,E13/Bases!$B$21)</f>
        <v>0</v>
      </c>
      <c r="F21" s="2">
        <f>IF(OR($A21&gt;F$1,Bases!$B$21+$A21-1&lt;F$1),0,F13/Bases!$B$21)</f>
        <v>0</v>
      </c>
      <c r="G21" s="2">
        <f>IF(OR($A21&gt;G$1,Bases!$B$21+$A21-1&lt;G$1),0,G13/Bases!$B$21)</f>
        <v>0</v>
      </c>
      <c r="H21" s="2">
        <f>IF(OR($A21&gt;H$1,Bases!$B$21+$A21-1&lt;H$1),0,H13/Bases!$B$21)</f>
        <v>0</v>
      </c>
    </row>
    <row r="22" spans="1:8" ht="12.75">
      <c r="A22" s="5">
        <v>1</v>
      </c>
      <c r="B22" s="21" t="s">
        <v>108</v>
      </c>
      <c r="C22" s="2">
        <f>IF(OR($A22&gt;C$1,Bases!$B$21+$A22-1&lt;C$1),0,C14/Bases!$B$21)</f>
        <v>0</v>
      </c>
      <c r="D22" s="2">
        <f>IF(OR($A22&gt;D$1,Bases!$B$21+$A22-1&lt;D$1),0,D14/Bases!$B$21)</f>
        <v>0</v>
      </c>
      <c r="E22" s="2">
        <f>IF(OR($A22&gt;E$1,Bases!$B$21+$A22-1&lt;E$1),0,E14/Bases!$B$21)</f>
        <v>0</v>
      </c>
      <c r="F22" s="2">
        <f>IF(OR($A22&gt;F$1,Bases!$B$21+$A22-1&lt;F$1),0,F14/Bases!$B$21)</f>
        <v>0</v>
      </c>
      <c r="G22" s="2">
        <f>IF(OR($A22&gt;G$1,Bases!$B$21+$A22-1&lt;G$1),0,G14/Bases!$B$21)</f>
        <v>0</v>
      </c>
      <c r="H22" s="2">
        <f>IF(OR($A22&gt;H$1,Bases!$B$21+$A22-1&lt;H$1),0,H14/Bases!$B$21)</f>
        <v>0</v>
      </c>
    </row>
    <row r="23" spans="1:8" ht="12.75">
      <c r="A23" s="5">
        <v>2</v>
      </c>
      <c r="B23" s="21" t="s">
        <v>109</v>
      </c>
      <c r="C23" s="2">
        <f>IF(OR($A23&gt;C$1,Bases!$B$21+$A23-1&lt;C$1),0,C15/Bases!$B$21)</f>
        <v>0</v>
      </c>
      <c r="D23" s="2">
        <f>IF(OR($A23&gt;D$1,Bases!$B$21+$A23-1&lt;D$1),0,D15/Bases!$B$21)</f>
        <v>0</v>
      </c>
      <c r="E23" s="2">
        <f>IF(OR($A23&gt;E$1,Bases!$B$21+$A23-1&lt;E$1),0,E15/Bases!$B$21)</f>
        <v>0</v>
      </c>
      <c r="F23" s="2">
        <f>IF(OR($A23&gt;F$1,Bases!$B$21+$A23-1&lt;F$1),0,F15/Bases!$B$21)</f>
        <v>0</v>
      </c>
      <c r="G23" s="2">
        <f>IF(OR($A23&gt;G$1,Bases!$B$21+$A23-1&lt;G$1),0,G15/Bases!$B$21)</f>
        <v>0</v>
      </c>
      <c r="H23" s="2">
        <f>IF(OR($A23&gt;H$1,Bases!$B$21+$A23-1&lt;H$1),0,H15/Bases!$B$21)</f>
        <v>0</v>
      </c>
    </row>
    <row r="24" spans="1:8" ht="12.75">
      <c r="A24" s="5">
        <v>3</v>
      </c>
      <c r="B24" s="21" t="s">
        <v>110</v>
      </c>
      <c r="C24" s="2">
        <f>IF(OR($A24&gt;C$1,Bases!$B$21+$A24-1&lt;C$1),0,C16/Bases!$B$21)</f>
        <v>0</v>
      </c>
      <c r="D24" s="2">
        <f>IF(OR($A24&gt;D$1,Bases!$B$21+$A24-1&lt;D$1),0,D16/Bases!$B$21)</f>
        <v>0</v>
      </c>
      <c r="E24" s="2">
        <f>IF(OR($A24&gt;E$1,Bases!$B$21+$A24-1&lt;E$1),0,E16/Bases!$B$21)</f>
        <v>0</v>
      </c>
      <c r="F24" s="2">
        <f>IF(OR($A24&gt;F$1,Bases!$B$21+$A24-1&lt;F$1),0,F16/Bases!$B$21)</f>
        <v>0</v>
      </c>
      <c r="G24" s="2">
        <f>IF(OR($A24&gt;G$1,Bases!$B$21+$A24-1&lt;G$1),0,G16/Bases!$B$21)</f>
        <v>0</v>
      </c>
      <c r="H24" s="2">
        <f>IF(OR($A24&gt;H$1,Bases!$B$21+$A24-1&lt;H$1),0,H16/Bases!$B$21)</f>
        <v>0</v>
      </c>
    </row>
    <row r="25" spans="1:8" ht="12.75">
      <c r="A25" s="5">
        <v>4</v>
      </c>
      <c r="B25" s="21" t="s">
        <v>111</v>
      </c>
      <c r="C25" s="2">
        <f>IF(OR($A25&gt;C$1,Bases!$B$21+$A25-1&lt;C$1),0,C17/Bases!$B$21)</f>
        <v>0</v>
      </c>
      <c r="D25" s="2">
        <f>IF(OR($A25&gt;D$1,Bases!$B$21+$A25-1&lt;D$1),0,D17/Bases!$B$21)</f>
        <v>0</v>
      </c>
      <c r="E25" s="2">
        <f>IF(OR($A25&gt;E$1,Bases!$B$21+$A25-1&lt;E$1),0,E17/Bases!$B$21)</f>
        <v>0</v>
      </c>
      <c r="F25" s="2">
        <f>IF(OR($A25&gt;F$1,Bases!$B$21+$A25-1&lt;F$1),0,F17/Bases!$B$21)</f>
        <v>0</v>
      </c>
      <c r="G25" s="2">
        <f>IF(OR($A25&gt;G$1,Bases!$B$21+$A25-1&lt;G$1),0,G17/Bases!$B$21)</f>
        <v>0</v>
      </c>
      <c r="H25" s="2">
        <f>IF(OR($A25&gt;H$1,Bases!$B$21+$A25-1&lt;H$1),0,H17/Bases!$B$21)</f>
        <v>0</v>
      </c>
    </row>
    <row r="26" spans="1:8" ht="12.75">
      <c r="A26" s="5">
        <v>5</v>
      </c>
      <c r="B26" s="21" t="s">
        <v>112</v>
      </c>
      <c r="C26" s="2">
        <f>IF(OR($A26&gt;C$1,Bases!$B$21+$A26-1&lt;C$1),0,C18/Bases!$B$21)</f>
        <v>0</v>
      </c>
      <c r="D26" s="2">
        <f>IF(OR($A26&gt;D$1,Bases!$B$21+$A26-1&lt;D$1),0,D18/Bases!$B$21)</f>
        <v>0</v>
      </c>
      <c r="E26" s="2">
        <f>IF(OR($A26&gt;E$1,Bases!$B$21+$A26-1&lt;E$1),0,E18/Bases!$B$21)</f>
        <v>0</v>
      </c>
      <c r="F26" s="2">
        <f>IF(OR($A26&gt;F$1,Bases!$B$21+$A26-1&lt;F$1),0,F18/Bases!$B$21)</f>
        <v>0</v>
      </c>
      <c r="G26" s="2">
        <f>IF(OR($A26&gt;G$1,Bases!$B$21+$A26-1&lt;G$1),0,G18/Bases!$B$21)</f>
        <v>0</v>
      </c>
      <c r="H26" s="2">
        <f>IF(OR($A26&gt;H$1,Bases!$B$21+$A26-1&lt;H$1),0,H18/Bases!$B$21)</f>
        <v>0</v>
      </c>
    </row>
    <row r="27" spans="2:8" ht="12.75">
      <c r="B27" s="5" t="s">
        <v>209</v>
      </c>
      <c r="C27" s="2">
        <f aca="true" t="shared" si="5" ref="C27:H27">SUM(C21:C26)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2:8" s="22" customFormat="1" ht="13.5" customHeight="1">
      <c r="B28" s="17" t="s">
        <v>204</v>
      </c>
      <c r="C28" s="23"/>
      <c r="D28" s="23"/>
      <c r="E28" s="23"/>
      <c r="F28" s="23"/>
      <c r="G28" s="23"/>
      <c r="H28" s="23"/>
    </row>
    <row r="29" spans="1:8" ht="12.75">
      <c r="A29" s="5">
        <v>0</v>
      </c>
      <c r="B29" s="21" t="s">
        <v>238</v>
      </c>
      <c r="C29" s="2">
        <f>IF($A29&gt;=C$1,0,B37*Proyecciones!C$4)</f>
        <v>0</v>
      </c>
      <c r="D29" s="2">
        <f>IF($A29&gt;=D$1,0,C37*Proyecciones!D$4)</f>
        <v>0</v>
      </c>
      <c r="E29" s="2">
        <f>IF($A29&gt;=E$1,0,D37*Proyecciones!E$4)</f>
        <v>0</v>
      </c>
      <c r="F29" s="2">
        <f>IF($A29&gt;=F$1,0,E37*Proyecciones!F$4)</f>
        <v>0</v>
      </c>
      <c r="G29" s="2">
        <f>IF($A29&gt;=G$1,0,F37*Proyecciones!G$4)</f>
        <v>0</v>
      </c>
      <c r="H29" s="2">
        <f>IF($A29&gt;=H$1,0,G37*Proyecciones!H$4)</f>
        <v>0</v>
      </c>
    </row>
    <row r="30" spans="1:8" ht="12.75">
      <c r="A30" s="5">
        <v>1</v>
      </c>
      <c r="B30" s="24" t="s">
        <v>108</v>
      </c>
      <c r="C30" s="2">
        <f>IF($A30&gt;=C$1,0,B38*Proyecciones!C$4)</f>
        <v>0</v>
      </c>
      <c r="D30" s="2">
        <f>IF($A30&gt;=D$1,0,C38*Proyecciones!D$4)</f>
        <v>0</v>
      </c>
      <c r="E30" s="2">
        <f>IF($A30&gt;=E$1,0,D38*Proyecciones!E$4)</f>
        <v>0</v>
      </c>
      <c r="F30" s="2">
        <f>IF($A30&gt;=F$1,0,E38*Proyecciones!F$4)</f>
        <v>0</v>
      </c>
      <c r="G30" s="2">
        <f>IF($A30&gt;=G$1,0,F38*Proyecciones!G$4)</f>
        <v>0</v>
      </c>
      <c r="H30" s="2">
        <f>IF($A30&gt;=H$1,0,G38*Proyecciones!H$4)</f>
        <v>0</v>
      </c>
    </row>
    <row r="31" spans="1:8" ht="12.75">
      <c r="A31" s="5">
        <v>2</v>
      </c>
      <c r="B31" s="24" t="s">
        <v>109</v>
      </c>
      <c r="C31" s="2">
        <f>IF($A31&gt;=C$1,0,B39*Proyecciones!C$4)</f>
        <v>0</v>
      </c>
      <c r="D31" s="2">
        <f>IF($A31&gt;=D$1,0,C39*Proyecciones!D$4)</f>
        <v>0</v>
      </c>
      <c r="E31" s="2">
        <f>IF($A31&gt;=E$1,0,D39*Proyecciones!E$4)</f>
        <v>0</v>
      </c>
      <c r="F31" s="2">
        <f>IF($A31&gt;=F$1,0,E39*Proyecciones!F$4)</f>
        <v>0</v>
      </c>
      <c r="G31" s="2">
        <f>IF($A31&gt;=G$1,0,F39*Proyecciones!G$4)</f>
        <v>0</v>
      </c>
      <c r="H31" s="2">
        <f>IF($A31&gt;=H$1,0,G39*Proyecciones!H$4)</f>
        <v>0</v>
      </c>
    </row>
    <row r="32" spans="1:8" ht="12.75">
      <c r="A32" s="5">
        <v>3</v>
      </c>
      <c r="B32" s="24" t="s">
        <v>110</v>
      </c>
      <c r="C32" s="2">
        <f>IF($A32&gt;=C$1,0,B40*Proyecciones!C$4)</f>
        <v>0</v>
      </c>
      <c r="D32" s="2">
        <f>IF($A32&gt;=D$1,0,C40*Proyecciones!D$4)</f>
        <v>0</v>
      </c>
      <c r="E32" s="2">
        <f>IF($A32&gt;=E$1,0,D40*Proyecciones!E$4)</f>
        <v>0</v>
      </c>
      <c r="F32" s="2">
        <f>IF($A32&gt;=F$1,0,E40*Proyecciones!F$4)</f>
        <v>0</v>
      </c>
      <c r="G32" s="2">
        <f>IF($A32&gt;=G$1,0,F40*Proyecciones!G$4)</f>
        <v>0</v>
      </c>
      <c r="H32" s="2">
        <f>IF($A32&gt;=H$1,0,G40*Proyecciones!H$4)</f>
        <v>0</v>
      </c>
    </row>
    <row r="33" spans="1:8" ht="12.75">
      <c r="A33" s="5">
        <v>4</v>
      </c>
      <c r="B33" s="24" t="s">
        <v>111</v>
      </c>
      <c r="C33" s="2">
        <f>IF($A33&gt;=C$1,0,B41*Proyecciones!C$4)</f>
        <v>0</v>
      </c>
      <c r="D33" s="2">
        <f>IF($A33&gt;=D$1,0,C41*Proyecciones!D$4)</f>
        <v>0</v>
      </c>
      <c r="E33" s="2">
        <f>IF($A33&gt;=E$1,0,D41*Proyecciones!E$4)</f>
        <v>0</v>
      </c>
      <c r="F33" s="2">
        <f>IF($A33&gt;=F$1,0,E41*Proyecciones!F$4)</f>
        <v>0</v>
      </c>
      <c r="G33" s="2">
        <f>IF($A33&gt;=G$1,0,F41*Proyecciones!G$4)</f>
        <v>0</v>
      </c>
      <c r="H33" s="2">
        <f>IF($A33&gt;=H$1,0,G41*Proyecciones!H$4)</f>
        <v>0</v>
      </c>
    </row>
    <row r="34" spans="1:8" ht="12.75">
      <c r="A34" s="5">
        <v>5</v>
      </c>
      <c r="B34" s="24" t="s">
        <v>112</v>
      </c>
      <c r="C34" s="2">
        <f>IF($A34&gt;=C$1,0,B42*Proyecciones!C$4)</f>
        <v>0</v>
      </c>
      <c r="D34" s="2">
        <f>IF($A34&gt;=D$1,0,C42*Proyecciones!D$4)</f>
        <v>0</v>
      </c>
      <c r="E34" s="2">
        <f>IF($A34&gt;=E$1,0,D42*Proyecciones!E$4)</f>
        <v>0</v>
      </c>
      <c r="F34" s="2">
        <f>IF($A34&gt;=F$1,0,E42*Proyecciones!F$4)</f>
        <v>0</v>
      </c>
      <c r="G34" s="2">
        <f>IF($A34&gt;=G$1,0,F42*Proyecciones!G$4)</f>
        <v>0</v>
      </c>
      <c r="H34" s="2">
        <f>IF($A34&gt;=H$1,0,G42*Proyecciones!H$4)</f>
        <v>0</v>
      </c>
    </row>
    <row r="35" spans="2:8" ht="12.75">
      <c r="B35" s="7" t="s">
        <v>208</v>
      </c>
      <c r="C35" s="2">
        <f aca="true" t="shared" si="6" ref="C35:H35">SUM(C29:C34)</f>
        <v>0</v>
      </c>
      <c r="D35" s="2">
        <f t="shared" si="6"/>
        <v>0</v>
      </c>
      <c r="E35" s="2">
        <f t="shared" si="6"/>
        <v>0</v>
      </c>
      <c r="F35" s="2">
        <f t="shared" si="6"/>
        <v>0</v>
      </c>
      <c r="G35" s="2">
        <f t="shared" si="6"/>
        <v>0</v>
      </c>
      <c r="H35" s="2">
        <f t="shared" si="6"/>
        <v>0</v>
      </c>
    </row>
    <row r="36" spans="2:8" s="22" customFormat="1" ht="13.5" customHeight="1">
      <c r="B36" s="17" t="s">
        <v>205</v>
      </c>
      <c r="C36" s="23"/>
      <c r="D36" s="23"/>
      <c r="E36" s="23"/>
      <c r="F36" s="23"/>
      <c r="G36" s="23"/>
      <c r="H36" s="23"/>
    </row>
    <row r="37" spans="1:9" ht="12.75">
      <c r="A37" s="5">
        <v>0</v>
      </c>
      <c r="B37" s="21" t="s">
        <v>238</v>
      </c>
      <c r="C37" s="3">
        <f aca="true" t="shared" si="7" ref="C37:H40">IF($A37&gt;C$1,0,IF($A37=C$1,C21,B37+C21+C29))</f>
        <v>0</v>
      </c>
      <c r="D37" s="3">
        <f t="shared" si="7"/>
        <v>0</v>
      </c>
      <c r="E37" s="3">
        <f t="shared" si="7"/>
        <v>0</v>
      </c>
      <c r="F37" s="3">
        <f t="shared" si="7"/>
        <v>0</v>
      </c>
      <c r="G37" s="3">
        <f t="shared" si="7"/>
        <v>0</v>
      </c>
      <c r="H37" s="3">
        <f t="shared" si="7"/>
        <v>0</v>
      </c>
      <c r="I37" s="25"/>
    </row>
    <row r="38" spans="1:9" ht="12.75">
      <c r="A38" s="5">
        <v>1</v>
      </c>
      <c r="B38" s="21" t="s">
        <v>108</v>
      </c>
      <c r="C38" s="3">
        <f t="shared" si="7"/>
        <v>0</v>
      </c>
      <c r="D38" s="3">
        <f t="shared" si="7"/>
        <v>0</v>
      </c>
      <c r="E38" s="3">
        <f t="shared" si="7"/>
        <v>0</v>
      </c>
      <c r="F38" s="3">
        <f t="shared" si="7"/>
        <v>0</v>
      </c>
      <c r="G38" s="3">
        <f t="shared" si="7"/>
        <v>0</v>
      </c>
      <c r="H38" s="3">
        <f t="shared" si="7"/>
        <v>0</v>
      </c>
      <c r="I38" s="25"/>
    </row>
    <row r="39" spans="1:8" ht="12.75">
      <c r="A39" s="5">
        <v>2</v>
      </c>
      <c r="B39" s="21" t="s">
        <v>109</v>
      </c>
      <c r="C39" s="3">
        <f t="shared" si="7"/>
        <v>0</v>
      </c>
      <c r="D39" s="3">
        <f t="shared" si="7"/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</row>
    <row r="40" spans="1:8" ht="12.75">
      <c r="A40" s="5">
        <v>3</v>
      </c>
      <c r="B40" s="21" t="s">
        <v>110</v>
      </c>
      <c r="C40" s="3">
        <f t="shared" si="7"/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</row>
    <row r="41" spans="1:8" ht="12.75">
      <c r="A41" s="5">
        <v>4</v>
      </c>
      <c r="B41" s="21" t="s">
        <v>111</v>
      </c>
      <c r="C41" s="3">
        <f aca="true" t="shared" si="8" ref="C41:H41">IF($A41&gt;C$1,0,IF($A41=C$1,C25,B41+C25+C33))</f>
        <v>0</v>
      </c>
      <c r="D41" s="3">
        <f t="shared" si="8"/>
        <v>0</v>
      </c>
      <c r="E41" s="3">
        <f t="shared" si="8"/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</row>
    <row r="42" spans="1:8" ht="12.75">
      <c r="A42" s="5">
        <v>5</v>
      </c>
      <c r="B42" s="21" t="s">
        <v>112</v>
      </c>
      <c r="C42" s="3">
        <f aca="true" t="shared" si="9" ref="C42:H42">IF($A42&gt;C$1,0,IF($A42=C$1,C26,B42+C26+C34))</f>
        <v>0</v>
      </c>
      <c r="D42" s="3">
        <f t="shared" si="9"/>
        <v>0</v>
      </c>
      <c r="E42" s="3">
        <f t="shared" si="9"/>
        <v>0</v>
      </c>
      <c r="F42" s="3">
        <f t="shared" si="9"/>
        <v>0</v>
      </c>
      <c r="G42" s="3">
        <f t="shared" si="9"/>
        <v>0</v>
      </c>
      <c r="H42" s="3">
        <f t="shared" si="9"/>
        <v>0</v>
      </c>
    </row>
    <row r="43" spans="2:8" ht="12.75">
      <c r="B43" s="5" t="s">
        <v>207</v>
      </c>
      <c r="C43" s="2">
        <f aca="true" t="shared" si="10" ref="C43:H43">SUM(C37:C42)</f>
        <v>0</v>
      </c>
      <c r="D43" s="2">
        <f t="shared" si="10"/>
        <v>0</v>
      </c>
      <c r="E43" s="2">
        <f t="shared" si="10"/>
        <v>0</v>
      </c>
      <c r="F43" s="2">
        <f t="shared" si="10"/>
        <v>0</v>
      </c>
      <c r="G43" s="2">
        <f t="shared" si="10"/>
        <v>0</v>
      </c>
      <c r="H43" s="2">
        <f t="shared" si="10"/>
        <v>0</v>
      </c>
    </row>
  </sheetData>
  <sheetProtection/>
  <printOptions gridLines="1" horizontalCentered="1" verticalCentered="1"/>
  <pageMargins left="0.1968503937007874" right="0.1968503937007874" top="0.984251968503937" bottom="0.3937007874015748" header="0.5905511811023623" footer="0.5118110236220472"/>
  <pageSetup horizontalDpi="300" verticalDpi="300" orientation="landscape" scale="85" r:id="rId1"/>
  <headerFooter alignWithMargins="0">
    <oddHeader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2:I27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31.7109375" style="0" customWidth="1"/>
    <col min="2" max="2" width="16.421875" style="0" customWidth="1"/>
    <col min="6" max="6" width="2.140625" style="0" customWidth="1"/>
    <col min="8" max="8" width="2.140625" style="0" customWidth="1"/>
    <col min="9" max="9" width="14.8515625" style="0" bestFit="1" customWidth="1"/>
  </cols>
  <sheetData>
    <row r="2" spans="4:6" ht="12.75">
      <c r="D2" s="290" t="s">
        <v>385</v>
      </c>
      <c r="E2" s="290"/>
      <c r="F2" s="290"/>
    </row>
    <row r="3" spans="4:6" ht="12.75">
      <c r="D3" s="290"/>
      <c r="E3" s="290"/>
      <c r="F3" s="290"/>
    </row>
    <row r="5" spans="1:2" ht="12.75">
      <c r="A5" s="168" t="s">
        <v>313</v>
      </c>
      <c r="B5" s="170">
        <f>Proyecciones!D70</f>
        <v>58585000</v>
      </c>
    </row>
    <row r="6" spans="1:2" ht="12.75">
      <c r="A6" s="168" t="s">
        <v>314</v>
      </c>
      <c r="B6" s="170">
        <f>Proyecciones!D75</f>
        <v>76917182.18124801</v>
      </c>
    </row>
    <row r="7" spans="1:2" ht="12.75">
      <c r="A7" s="168" t="s">
        <v>315</v>
      </c>
      <c r="B7" s="171">
        <f>B5+B6</f>
        <v>135502182.181248</v>
      </c>
    </row>
    <row r="8" spans="1:2" ht="12.75">
      <c r="A8" s="168"/>
      <c r="B8" s="168"/>
    </row>
    <row r="9" spans="1:2" ht="12.75">
      <c r="A9" s="168" t="s">
        <v>316</v>
      </c>
      <c r="B9" s="171">
        <f>+Proyecciones!D32</f>
        <v>322967.032967033</v>
      </c>
    </row>
    <row r="10" spans="1:2" ht="12.75">
      <c r="A10" s="168" t="s">
        <v>317</v>
      </c>
      <c r="B10" s="171">
        <f>+Proyecciones!D61</f>
        <v>128758.24175824175</v>
      </c>
    </row>
    <row r="14" spans="2:8" ht="12.75">
      <c r="B14" s="288" t="s">
        <v>318</v>
      </c>
      <c r="C14" s="288"/>
      <c r="D14" s="288"/>
      <c r="E14" s="288"/>
      <c r="F14" s="288"/>
      <c r="G14" s="288"/>
      <c r="H14" s="169"/>
    </row>
    <row r="15" spans="1:8" ht="12.75">
      <c r="A15" t="s">
        <v>319</v>
      </c>
      <c r="B15" s="288"/>
      <c r="C15" s="288"/>
      <c r="D15" s="288"/>
      <c r="E15" s="288"/>
      <c r="F15" s="288"/>
      <c r="G15" s="288"/>
      <c r="H15" s="169"/>
    </row>
    <row r="16" spans="2:8" ht="12.75">
      <c r="B16" s="169"/>
      <c r="C16" s="169"/>
      <c r="D16" s="169"/>
      <c r="E16" s="169"/>
      <c r="F16" s="169"/>
      <c r="G16" s="169"/>
      <c r="H16" s="169"/>
    </row>
    <row r="18" spans="1:5" ht="16.5" thickBot="1">
      <c r="A18" t="s">
        <v>319</v>
      </c>
      <c r="B18" s="173">
        <f>+B5</f>
        <v>58585000</v>
      </c>
      <c r="C18" s="174" t="s">
        <v>321</v>
      </c>
      <c r="D18" s="175">
        <f>B18/B19</f>
        <v>301.6598766479941</v>
      </c>
      <c r="E18" s="176" t="s">
        <v>322</v>
      </c>
    </row>
    <row r="19" ht="12.75">
      <c r="B19" s="172">
        <f>B9-B10</f>
        <v>194208.79120879123</v>
      </c>
    </row>
    <row r="24" spans="1:9" ht="15.75">
      <c r="A24" s="289" t="s">
        <v>320</v>
      </c>
      <c r="B24" s="289"/>
      <c r="C24" s="289"/>
      <c r="D24" s="289"/>
      <c r="E24" s="172">
        <f>+B9</f>
        <v>322967.032967033</v>
      </c>
      <c r="F24" s="177" t="s">
        <v>434</v>
      </c>
      <c r="G24" s="286">
        <f>+D18</f>
        <v>301.6598766479941</v>
      </c>
      <c r="H24" s="177" t="s">
        <v>435</v>
      </c>
      <c r="I24" s="287">
        <f>+B9*D18</f>
        <v>97426195.32620382</v>
      </c>
    </row>
    <row r="27" spans="6:8" ht="12.75">
      <c r="F27" s="178"/>
      <c r="H27" s="178"/>
    </row>
  </sheetData>
  <sheetProtection/>
  <mergeCells count="3">
    <mergeCell ref="B14:G15"/>
    <mergeCell ref="A24:D24"/>
    <mergeCell ref="D2:F3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B3:J13"/>
  <sheetViews>
    <sheetView zoomScale="84" zoomScaleNormal="84" zoomScalePageLayoutView="0" workbookViewId="0" topLeftCell="A1">
      <selection activeCell="D21" sqref="D21"/>
    </sheetView>
  </sheetViews>
  <sheetFormatPr defaultColWidth="11.421875" defaultRowHeight="12.75"/>
  <cols>
    <col min="1" max="1" width="11.421875" style="176" customWidth="1"/>
    <col min="2" max="2" width="31.8515625" style="176" customWidth="1"/>
    <col min="3" max="4" width="21.28125" style="176" customWidth="1"/>
    <col min="5" max="5" width="17.421875" style="176" customWidth="1"/>
    <col min="6" max="6" width="11.421875" style="176" customWidth="1"/>
    <col min="7" max="7" width="16.7109375" style="176" customWidth="1"/>
    <col min="8" max="8" width="28.8515625" style="176" customWidth="1"/>
    <col min="9" max="9" width="29.8515625" style="176" bestFit="1" customWidth="1"/>
    <col min="10" max="10" width="17.00390625" style="176" customWidth="1"/>
    <col min="11" max="16384" width="11.421875" style="176" customWidth="1"/>
  </cols>
  <sheetData>
    <row r="2" ht="13.5" thickBot="1"/>
    <row r="3" spans="2:10" s="186" customFormat="1" ht="12.75">
      <c r="B3" s="291" t="s">
        <v>323</v>
      </c>
      <c r="C3" s="292"/>
      <c r="D3" s="292"/>
      <c r="E3" s="293"/>
      <c r="G3" s="294" t="s">
        <v>326</v>
      </c>
      <c r="H3" s="295"/>
      <c r="I3" s="295"/>
      <c r="J3" s="296"/>
    </row>
    <row r="4" spans="2:10" ht="36" customHeight="1">
      <c r="B4" s="279" t="s">
        <v>387</v>
      </c>
      <c r="C4" s="195" t="s">
        <v>333</v>
      </c>
      <c r="D4" s="195" t="s">
        <v>332</v>
      </c>
      <c r="E4" s="280" t="s">
        <v>324</v>
      </c>
      <c r="G4" s="297" t="s">
        <v>327</v>
      </c>
      <c r="H4" s="298"/>
      <c r="I4" s="196" t="s">
        <v>328</v>
      </c>
      <c r="J4" s="197" t="s">
        <v>329</v>
      </c>
    </row>
    <row r="5" spans="2:10" ht="36" customHeight="1">
      <c r="B5" s="281" t="s">
        <v>389</v>
      </c>
      <c r="C5" s="194">
        <f>+Proyecciones!D12</f>
        <v>50000</v>
      </c>
      <c r="D5" s="194">
        <f>+Proyecciones!D39</f>
        <v>15000</v>
      </c>
      <c r="E5" s="282">
        <v>10000</v>
      </c>
      <c r="G5" s="187" t="s">
        <v>330</v>
      </c>
      <c r="H5" s="188" t="s">
        <v>388</v>
      </c>
      <c r="I5" s="189">
        <v>1</v>
      </c>
      <c r="J5" s="190">
        <v>14290000</v>
      </c>
    </row>
    <row r="6" spans="2:10" ht="18" customHeight="1" thickBot="1">
      <c r="B6" s="281" t="s">
        <v>390</v>
      </c>
      <c r="C6" s="194">
        <f>+Proyecciones!D13</f>
        <v>500000</v>
      </c>
      <c r="D6" s="194">
        <f>+Proyecciones!D40</f>
        <v>150000</v>
      </c>
      <c r="E6" s="282">
        <v>40000</v>
      </c>
      <c r="G6" s="299" t="s">
        <v>331</v>
      </c>
      <c r="H6" s="300"/>
      <c r="I6" s="300"/>
      <c r="J6" s="191">
        <f>I5*J5</f>
        <v>14290000</v>
      </c>
    </row>
    <row r="7" spans="2:5" ht="12.75">
      <c r="B7" s="281" t="s">
        <v>399</v>
      </c>
      <c r="C7" s="194">
        <f>+Proyecciones!D14</f>
        <v>900000</v>
      </c>
      <c r="D7" s="194">
        <f>+Proyecciones!D41</f>
        <v>270000</v>
      </c>
      <c r="E7" s="282">
        <v>40000</v>
      </c>
    </row>
    <row r="8" spans="2:5" ht="12.75">
      <c r="B8" s="281" t="s">
        <v>392</v>
      </c>
      <c r="C8" s="194">
        <f>+Proyecciones!D15</f>
        <v>600000</v>
      </c>
      <c r="D8" s="194">
        <f>+Proyecciones!D42</f>
        <v>180000</v>
      </c>
      <c r="E8" s="282">
        <v>50000</v>
      </c>
    </row>
    <row r="9" spans="2:5" ht="12.75">
      <c r="B9" s="281" t="s">
        <v>393</v>
      </c>
      <c r="C9" s="194">
        <f>+Proyecciones!D16</f>
        <v>250000</v>
      </c>
      <c r="D9" s="194">
        <f>+Proyecciones!D43</f>
        <v>75000</v>
      </c>
      <c r="E9" s="282">
        <v>30000</v>
      </c>
    </row>
    <row r="10" spans="2:5" ht="12.75">
      <c r="B10" s="281" t="s">
        <v>394</v>
      </c>
      <c r="C10" s="194">
        <f>+Proyecciones!D17</f>
        <v>500000</v>
      </c>
      <c r="D10" s="194">
        <f>+Proyecciones!D44</f>
        <v>150000</v>
      </c>
      <c r="E10" s="282">
        <v>90000</v>
      </c>
    </row>
    <row r="11" spans="2:5" ht="12.75">
      <c r="B11" s="281" t="s">
        <v>395</v>
      </c>
      <c r="C11" s="194">
        <f>+Proyecciones!D18</f>
        <v>70000</v>
      </c>
      <c r="D11" s="194">
        <f>+Proyecciones!D45</f>
        <v>21000</v>
      </c>
      <c r="E11" s="282">
        <v>10000</v>
      </c>
    </row>
    <row r="12" spans="2:10" ht="12.75">
      <c r="B12" s="281" t="s">
        <v>396</v>
      </c>
      <c r="C12" s="194">
        <f>+Proyecciones!D19</f>
        <v>150000</v>
      </c>
      <c r="D12" s="194">
        <f>+Proyecciones!D46</f>
        <v>45000</v>
      </c>
      <c r="E12" s="282">
        <v>15000</v>
      </c>
      <c r="G12" s="192"/>
      <c r="H12" s="193"/>
      <c r="I12" s="193"/>
      <c r="J12" s="193"/>
    </row>
    <row r="13" spans="2:5" ht="13.5" thickBot="1">
      <c r="B13" s="272" t="s">
        <v>331</v>
      </c>
      <c r="C13" s="273"/>
      <c r="D13" s="273"/>
      <c r="E13" s="283">
        <v>0</v>
      </c>
    </row>
  </sheetData>
  <sheetProtection/>
  <mergeCells count="4">
    <mergeCell ref="B3:E3"/>
    <mergeCell ref="G3:J3"/>
    <mergeCell ref="G4:H4"/>
    <mergeCell ref="G6:I6"/>
  </mergeCells>
  <dataValidations count="1">
    <dataValidation allowBlank="1" showInputMessage="1" showErrorMessage="1" promptTitle="Precio Promedio" prompt="Valor del Precio Promedio Unidades Vendidas en el año Producto 1" sqref="C5: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2:M40"/>
  <sheetViews>
    <sheetView zoomScale="80" zoomScaleNormal="80" zoomScalePageLayoutView="0" workbookViewId="0" topLeftCell="A10">
      <selection activeCell="I30" sqref="I30"/>
    </sheetView>
  </sheetViews>
  <sheetFormatPr defaultColWidth="11.421875" defaultRowHeight="12.75"/>
  <cols>
    <col min="1" max="1" width="18.57421875" style="199" customWidth="1"/>
    <col min="2" max="2" width="23.00390625" style="199" customWidth="1"/>
    <col min="3" max="3" width="20.00390625" style="199" customWidth="1"/>
    <col min="4" max="4" width="17.7109375" style="199" customWidth="1"/>
    <col min="5" max="5" width="16.140625" style="199" customWidth="1"/>
    <col min="6" max="6" width="14.140625" style="199" customWidth="1"/>
    <col min="7" max="7" width="17.7109375" style="199" customWidth="1"/>
    <col min="8" max="8" width="21.421875" style="199" customWidth="1"/>
    <col min="9" max="9" width="18.28125" style="199" customWidth="1"/>
    <col min="10" max="10" width="18.7109375" style="199" customWidth="1"/>
    <col min="11" max="11" width="22.7109375" style="199" customWidth="1"/>
    <col min="12" max="12" width="16.00390625" style="199" customWidth="1"/>
    <col min="13" max="13" width="13.57421875" style="199" customWidth="1"/>
    <col min="14" max="16384" width="11.421875" style="199" customWidth="1"/>
  </cols>
  <sheetData>
    <row r="2" spans="1:13" ht="13.5">
      <c r="A2" s="198"/>
      <c r="B2" s="307" t="s">
        <v>334</v>
      </c>
      <c r="C2" s="307" t="s">
        <v>335</v>
      </c>
      <c r="D2" s="307"/>
      <c r="E2" s="307"/>
      <c r="F2" s="307"/>
      <c r="G2" s="307"/>
      <c r="H2" s="307"/>
      <c r="I2" s="307" t="s">
        <v>336</v>
      </c>
      <c r="J2" s="307"/>
      <c r="K2" s="307"/>
      <c r="L2" s="307" t="s">
        <v>337</v>
      </c>
      <c r="M2" s="307" t="s">
        <v>338</v>
      </c>
    </row>
    <row r="3" spans="1:13" ht="25.5">
      <c r="A3" s="306" t="s">
        <v>339</v>
      </c>
      <c r="B3" s="307"/>
      <c r="C3" s="214" t="s">
        <v>340</v>
      </c>
      <c r="D3" s="214" t="s">
        <v>341</v>
      </c>
      <c r="E3" s="214" t="s">
        <v>342</v>
      </c>
      <c r="F3" s="214" t="s">
        <v>343</v>
      </c>
      <c r="G3" s="214" t="s">
        <v>344</v>
      </c>
      <c r="H3" s="214" t="s">
        <v>345</v>
      </c>
      <c r="I3" s="214" t="s">
        <v>346</v>
      </c>
      <c r="J3" s="214" t="s">
        <v>347</v>
      </c>
      <c r="K3" s="214" t="s">
        <v>348</v>
      </c>
      <c r="L3" s="307"/>
      <c r="M3" s="307"/>
    </row>
    <row r="4" spans="1:13" ht="13.5">
      <c r="A4" s="306"/>
      <c r="B4" s="200" t="s">
        <v>427</v>
      </c>
      <c r="C4" s="201">
        <v>1562484</v>
      </c>
      <c r="D4" s="201">
        <v>30</v>
      </c>
      <c r="E4" s="201">
        <v>0</v>
      </c>
      <c r="F4" s="201">
        <v>0</v>
      </c>
      <c r="G4" s="201">
        <v>88211</v>
      </c>
      <c r="H4" s="201">
        <f>((C4+G4)/30)*D4</f>
        <v>1650695</v>
      </c>
      <c r="I4" s="201">
        <f>(H4-G4)*4%</f>
        <v>62499.36</v>
      </c>
      <c r="J4" s="201">
        <f>(H4-G4)*4%</f>
        <v>62499.36</v>
      </c>
      <c r="K4" s="201">
        <f>I4+J4</f>
        <v>124998.72</v>
      </c>
      <c r="L4" s="201">
        <f>H4-K4</f>
        <v>1525696.28</v>
      </c>
      <c r="M4" s="200"/>
    </row>
    <row r="5" spans="1:13" ht="13.5">
      <c r="A5" s="306"/>
      <c r="B5" s="200" t="s">
        <v>433</v>
      </c>
      <c r="C5" s="201">
        <v>781242</v>
      </c>
      <c r="D5" s="202">
        <v>30</v>
      </c>
      <c r="E5" s="201">
        <v>0</v>
      </c>
      <c r="F5" s="201">
        <v>0</v>
      </c>
      <c r="G5" s="201">
        <v>88211</v>
      </c>
      <c r="H5" s="201">
        <f>((C5+G5)/30)*D5</f>
        <v>869453</v>
      </c>
      <c r="I5" s="201">
        <f>(H5-G5)*4%</f>
        <v>31249.68</v>
      </c>
      <c r="J5" s="201">
        <f>(H5-G5)*4%</f>
        <v>31249.68</v>
      </c>
      <c r="K5" s="201">
        <f>I5+J5</f>
        <v>62499.36</v>
      </c>
      <c r="L5" s="201">
        <f>H5-K5</f>
        <v>806953.64</v>
      </c>
      <c r="M5" s="200"/>
    </row>
    <row r="6" spans="1:13" ht="13.5">
      <c r="A6" s="198"/>
      <c r="B6" s="200" t="s">
        <v>331</v>
      </c>
      <c r="C6" s="201">
        <f aca="true" t="shared" si="0" ref="C6:L6">SUM(C4:C5)</f>
        <v>2343726</v>
      </c>
      <c r="D6" s="201">
        <f t="shared" si="0"/>
        <v>60</v>
      </c>
      <c r="E6" s="201">
        <f t="shared" si="0"/>
        <v>0</v>
      </c>
      <c r="F6" s="201">
        <f t="shared" si="0"/>
        <v>0</v>
      </c>
      <c r="G6" s="201">
        <f t="shared" si="0"/>
        <v>176422</v>
      </c>
      <c r="H6" s="201">
        <f t="shared" si="0"/>
        <v>2520148</v>
      </c>
      <c r="I6" s="201">
        <f t="shared" si="0"/>
        <v>93749.04000000001</v>
      </c>
      <c r="J6" s="201">
        <f t="shared" si="0"/>
        <v>93749.04000000001</v>
      </c>
      <c r="K6" s="201">
        <f t="shared" si="0"/>
        <v>187498.08000000002</v>
      </c>
      <c r="L6" s="201">
        <f t="shared" si="0"/>
        <v>2332649.92</v>
      </c>
      <c r="M6" s="200"/>
    </row>
    <row r="7" spans="1:13" ht="13.5">
      <c r="A7" s="198"/>
      <c r="B7" s="203"/>
      <c r="C7" s="204"/>
      <c r="D7" s="203"/>
      <c r="E7" s="203"/>
      <c r="F7" s="203"/>
      <c r="G7" s="205"/>
      <c r="H7" s="204"/>
      <c r="I7" s="205"/>
      <c r="J7" s="205"/>
      <c r="K7" s="205"/>
      <c r="L7" s="205"/>
      <c r="M7" s="203"/>
    </row>
    <row r="8" spans="1:13" ht="13.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38.25">
      <c r="A9" s="198"/>
      <c r="B9" s="308" t="s">
        <v>349</v>
      </c>
      <c r="C9" s="215" t="s">
        <v>350</v>
      </c>
      <c r="D9" s="215" t="s">
        <v>351</v>
      </c>
      <c r="E9" s="215" t="s">
        <v>352</v>
      </c>
      <c r="F9" s="214" t="s">
        <v>353</v>
      </c>
      <c r="G9" s="215" t="s">
        <v>346</v>
      </c>
      <c r="H9" s="215" t="s">
        <v>347</v>
      </c>
      <c r="I9" s="214" t="s">
        <v>354</v>
      </c>
      <c r="J9" s="215" t="s">
        <v>355</v>
      </c>
      <c r="K9" s="215" t="s">
        <v>356</v>
      </c>
      <c r="L9" s="215" t="s">
        <v>357</v>
      </c>
      <c r="M9" s="215" t="s">
        <v>331</v>
      </c>
    </row>
    <row r="10" spans="1:13" ht="13.5">
      <c r="A10" s="198"/>
      <c r="B10" s="308"/>
      <c r="C10" s="201">
        <f>H6*8.33%</f>
        <v>209928.3284</v>
      </c>
      <c r="D10" s="201">
        <f>H6*8.33%</f>
        <v>209928.3284</v>
      </c>
      <c r="E10" s="201">
        <f>(H6-G6)*4.17%</f>
        <v>97733.3742</v>
      </c>
      <c r="F10" s="201">
        <f>H6*1%</f>
        <v>25201.48</v>
      </c>
      <c r="G10" s="201">
        <f>(H6-G6)*8.5%</f>
        <v>199216.71000000002</v>
      </c>
      <c r="H10" s="201">
        <f>(H6-G6)*12%</f>
        <v>281247.12</v>
      </c>
      <c r="I10" s="201">
        <f>(H6-G6)*4%</f>
        <v>93749.04000000001</v>
      </c>
      <c r="J10" s="201">
        <f>(H6-G6)*3%</f>
        <v>70311.78</v>
      </c>
      <c r="K10" s="201">
        <f>(H6-G6)*2%</f>
        <v>46874.520000000004</v>
      </c>
      <c r="L10" s="201">
        <f>(H6-G6)*0.522%</f>
        <v>12234.24972</v>
      </c>
      <c r="M10" s="201">
        <f>+C10+D10+E10+F10+G10+H10+I10+J10+K10+L10</f>
        <v>1246424.93072</v>
      </c>
    </row>
    <row r="11" spans="1:13" ht="13.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3" ht="12.7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3" ht="12.7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</row>
    <row r="14" spans="1:13" ht="12.75">
      <c r="A14" s="206"/>
      <c r="B14" s="307" t="s">
        <v>334</v>
      </c>
      <c r="C14" s="307" t="s">
        <v>335</v>
      </c>
      <c r="D14" s="307"/>
      <c r="E14" s="307"/>
      <c r="F14" s="307"/>
      <c r="G14" s="307"/>
      <c r="H14" s="307"/>
      <c r="I14" s="313" t="s">
        <v>336</v>
      </c>
      <c r="J14" s="314"/>
      <c r="K14" s="315"/>
      <c r="L14" s="307" t="s">
        <v>337</v>
      </c>
      <c r="M14" s="307" t="s">
        <v>338</v>
      </c>
    </row>
    <row r="15" spans="1:13" ht="25.5">
      <c r="A15" s="301" t="s">
        <v>428</v>
      </c>
      <c r="B15" s="307"/>
      <c r="C15" s="214" t="s">
        <v>340</v>
      </c>
      <c r="D15" s="214" t="s">
        <v>341</v>
      </c>
      <c r="E15" s="214" t="s">
        <v>342</v>
      </c>
      <c r="F15" s="214" t="s">
        <v>343</v>
      </c>
      <c r="G15" s="214" t="s">
        <v>344</v>
      </c>
      <c r="H15" s="214" t="s">
        <v>345</v>
      </c>
      <c r="I15" s="214" t="s">
        <v>346</v>
      </c>
      <c r="J15" s="214" t="s">
        <v>347</v>
      </c>
      <c r="K15" s="214" t="s">
        <v>348</v>
      </c>
      <c r="L15" s="307"/>
      <c r="M15" s="307"/>
    </row>
    <row r="16" spans="1:13" ht="13.5">
      <c r="A16" s="301"/>
      <c r="B16" s="200" t="s">
        <v>429</v>
      </c>
      <c r="C16" s="201">
        <v>781242</v>
      </c>
      <c r="D16" s="201">
        <v>8</v>
      </c>
      <c r="E16" s="201">
        <v>0</v>
      </c>
      <c r="F16" s="201">
        <v>0</v>
      </c>
      <c r="G16" s="201">
        <v>88211</v>
      </c>
      <c r="H16" s="201">
        <f>((C16+G16)/30)*D16</f>
        <v>231854.13333333333</v>
      </c>
      <c r="I16" s="201">
        <f>(H16-G16)*4%</f>
        <v>5745.725333333334</v>
      </c>
      <c r="J16" s="201">
        <f>(H16-G16)*4%</f>
        <v>5745.725333333334</v>
      </c>
      <c r="K16" s="201">
        <f>I16+J16</f>
        <v>11491.450666666668</v>
      </c>
      <c r="L16" s="201">
        <f>H16-K16</f>
        <v>220362.68266666666</v>
      </c>
      <c r="M16" s="201"/>
    </row>
    <row r="17" spans="1:13" ht="13.5">
      <c r="A17" s="301"/>
      <c r="B17" s="200" t="s">
        <v>430</v>
      </c>
      <c r="C17" s="201">
        <v>781242</v>
      </c>
      <c r="D17" s="201">
        <v>8</v>
      </c>
      <c r="E17" s="201">
        <v>0</v>
      </c>
      <c r="F17" s="201">
        <v>0</v>
      </c>
      <c r="G17" s="201">
        <v>88211</v>
      </c>
      <c r="H17" s="201">
        <f>((C17+G17)/30)*D17</f>
        <v>231854.13333333333</v>
      </c>
      <c r="I17" s="201">
        <f>(H17-G17)*4%</f>
        <v>5745.725333333334</v>
      </c>
      <c r="J17" s="201">
        <f>(H17-G17)*4%</f>
        <v>5745.725333333334</v>
      </c>
      <c r="K17" s="201">
        <f>I17+J17</f>
        <v>11491.450666666668</v>
      </c>
      <c r="L17" s="201">
        <f>H17-K17</f>
        <v>220362.68266666666</v>
      </c>
      <c r="M17" s="201"/>
    </row>
    <row r="18" spans="1:13" ht="13.5">
      <c r="A18" s="301"/>
      <c r="B18" s="200" t="s">
        <v>431</v>
      </c>
      <c r="C18" s="201">
        <v>781242</v>
      </c>
      <c r="D18" s="201">
        <v>8</v>
      </c>
      <c r="E18" s="201">
        <v>0</v>
      </c>
      <c r="F18" s="201">
        <v>0</v>
      </c>
      <c r="G18" s="201">
        <v>88211</v>
      </c>
      <c r="H18" s="201">
        <f>((C18+G18)/30)*D18</f>
        <v>231854.13333333333</v>
      </c>
      <c r="I18" s="201">
        <f>(H18-G18)*4%</f>
        <v>5745.725333333334</v>
      </c>
      <c r="J18" s="201">
        <f>(H18-G18)*4%</f>
        <v>5745.725333333334</v>
      </c>
      <c r="K18" s="201">
        <f>I18+J18</f>
        <v>11491.450666666668</v>
      </c>
      <c r="L18" s="201">
        <f>H18-K18</f>
        <v>220362.68266666666</v>
      </c>
      <c r="M18" s="201"/>
    </row>
    <row r="19" spans="1:13" ht="13.5">
      <c r="A19" s="301"/>
      <c r="B19" s="200" t="s">
        <v>432</v>
      </c>
      <c r="C19" s="201">
        <v>781242</v>
      </c>
      <c r="D19" s="201">
        <v>8</v>
      </c>
      <c r="E19" s="201">
        <v>0</v>
      </c>
      <c r="F19" s="201">
        <v>0</v>
      </c>
      <c r="G19" s="201">
        <v>88211</v>
      </c>
      <c r="H19" s="201">
        <f>((C19+G19)/30)*D19</f>
        <v>231854.13333333333</v>
      </c>
      <c r="I19" s="201">
        <f>(H19-G19)*4%</f>
        <v>5745.725333333334</v>
      </c>
      <c r="J19" s="201">
        <f>(H19-G19)*4%</f>
        <v>5745.725333333334</v>
      </c>
      <c r="K19" s="201">
        <f>I19+J19</f>
        <v>11491.450666666668</v>
      </c>
      <c r="L19" s="201">
        <f>H19-K19</f>
        <v>220362.68266666666</v>
      </c>
      <c r="M19" s="201"/>
    </row>
    <row r="20" spans="1:13" ht="13.5">
      <c r="A20" s="301"/>
      <c r="B20" s="200" t="s">
        <v>331</v>
      </c>
      <c r="C20" s="201">
        <f>SUM(C16:C19)</f>
        <v>3124968</v>
      </c>
      <c r="D20" s="201">
        <f>SUM(D16:D19)</f>
        <v>32</v>
      </c>
      <c r="E20" s="201">
        <f>SUM(E16:E19)</f>
        <v>0</v>
      </c>
      <c r="F20" s="201">
        <f aca="true" t="shared" si="1" ref="F20:K20">SUM(F16:F19)</f>
        <v>0</v>
      </c>
      <c r="G20" s="201">
        <f>SUM(G16:G19)</f>
        <v>352844</v>
      </c>
      <c r="H20" s="201">
        <f>SUM(H16:H19)</f>
        <v>927416.5333333333</v>
      </c>
      <c r="I20" s="201">
        <f>SUM(I16:I19)</f>
        <v>22982.901333333335</v>
      </c>
      <c r="J20" s="201">
        <f t="shared" si="1"/>
        <v>22982.901333333335</v>
      </c>
      <c r="K20" s="201">
        <f t="shared" si="1"/>
        <v>45965.80266666667</v>
      </c>
      <c r="L20" s="201">
        <f>SUM(L16:L19)</f>
        <v>881450.7306666666</v>
      </c>
      <c r="M20" s="201"/>
    </row>
    <row r="21" spans="1:13" ht="13.5">
      <c r="A21" s="301"/>
      <c r="B21" s="203"/>
      <c r="C21" s="204"/>
      <c r="D21" s="203"/>
      <c r="E21" s="203"/>
      <c r="F21" s="203"/>
      <c r="G21" s="205"/>
      <c r="H21" s="204"/>
      <c r="I21" s="205"/>
      <c r="J21" s="205"/>
      <c r="K21" s="205"/>
      <c r="L21" s="205"/>
      <c r="M21" s="203"/>
    </row>
    <row r="22" spans="1:13" ht="38.25">
      <c r="A22" s="206"/>
      <c r="B22" s="308" t="s">
        <v>349</v>
      </c>
      <c r="C22" s="215" t="s">
        <v>350</v>
      </c>
      <c r="D22" s="215" t="s">
        <v>351</v>
      </c>
      <c r="E22" s="215" t="s">
        <v>352</v>
      </c>
      <c r="F22" s="214" t="s">
        <v>353</v>
      </c>
      <c r="G22" s="215" t="s">
        <v>346</v>
      </c>
      <c r="H22" s="215" t="s">
        <v>347</v>
      </c>
      <c r="I22" s="214" t="s">
        <v>354</v>
      </c>
      <c r="J22" s="215" t="s">
        <v>355</v>
      </c>
      <c r="K22" s="215" t="s">
        <v>356</v>
      </c>
      <c r="L22" s="215" t="s">
        <v>357</v>
      </c>
      <c r="M22" s="215" t="s">
        <v>331</v>
      </c>
    </row>
    <row r="23" spans="1:13" ht="13.5">
      <c r="A23" s="206"/>
      <c r="B23" s="308"/>
      <c r="C23" s="201">
        <f>H20*8.33%</f>
        <v>77253.79722666666</v>
      </c>
      <c r="D23" s="201">
        <f>H20*8.33%</f>
        <v>77253.79722666666</v>
      </c>
      <c r="E23" s="201">
        <f>(H20-G20)*4.17%</f>
        <v>23959.67464</v>
      </c>
      <c r="F23" s="201">
        <f>H20*1%</f>
        <v>9274.165333333334</v>
      </c>
      <c r="G23" s="201">
        <f>(H20-G20)*8.5%</f>
        <v>48838.66533333334</v>
      </c>
      <c r="H23" s="201">
        <f>(H20-G20)*12%</f>
        <v>68948.704</v>
      </c>
      <c r="I23" s="201">
        <f>(H20-G20)*4%</f>
        <v>22982.901333333335</v>
      </c>
      <c r="J23" s="201">
        <f>(H20-G20)*3%</f>
        <v>17237.176</v>
      </c>
      <c r="K23" s="201">
        <f>(H20-G20)*2%</f>
        <v>11491.450666666668</v>
      </c>
      <c r="L23" s="201">
        <f>(H20-G20)*0.522%</f>
        <v>2999.268624</v>
      </c>
      <c r="M23" s="201">
        <f>SUM(C23:L23)</f>
        <v>360239.60038400005</v>
      </c>
    </row>
    <row r="24" spans="1:13" ht="12.7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</row>
    <row r="25" spans="1:13" ht="12.75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</row>
    <row r="26" spans="1:13" ht="12.7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7"/>
      <c r="L26" s="206"/>
      <c r="M26" s="206"/>
    </row>
    <row r="27" spans="1:13" ht="12.7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  <row r="28" spans="1:13" ht="25.5">
      <c r="A28" s="206"/>
      <c r="B28" s="307" t="s">
        <v>358</v>
      </c>
      <c r="C28" s="307"/>
      <c r="D28" s="214" t="s">
        <v>359</v>
      </c>
      <c r="E28" s="214" t="s">
        <v>336</v>
      </c>
      <c r="F28" s="214" t="s">
        <v>360</v>
      </c>
      <c r="G28" s="214" t="s">
        <v>349</v>
      </c>
      <c r="H28" s="216" t="s">
        <v>361</v>
      </c>
      <c r="I28" s="206"/>
      <c r="J28" s="210"/>
      <c r="K28" s="206"/>
      <c r="L28" s="206"/>
      <c r="M28" s="206"/>
    </row>
    <row r="29" spans="1:13" ht="16.5" customHeight="1">
      <c r="A29" s="206"/>
      <c r="B29" s="309" t="str">
        <f>+A3</f>
        <v>ADMINISTRACIÓN </v>
      </c>
      <c r="C29" s="200" t="str">
        <f>+B4</f>
        <v>DIRECTOR DEL MAGAZINE</v>
      </c>
      <c r="D29" s="208">
        <f>+H4</f>
        <v>1650695</v>
      </c>
      <c r="E29" s="208">
        <f>K4</f>
        <v>124998.72</v>
      </c>
      <c r="F29" s="208">
        <f aca="true" t="shared" si="2" ref="F29:F34">D29-E29</f>
        <v>1525696.28</v>
      </c>
      <c r="G29" s="311">
        <f>M10</f>
        <v>1246424.93072</v>
      </c>
      <c r="H29" s="302">
        <f>(F29+F30+G29)*12</f>
        <v>42948898.20864</v>
      </c>
      <c r="I29" s="210">
        <f>+H29</f>
        <v>42948898.20864</v>
      </c>
      <c r="J29" s="206"/>
      <c r="K29" s="206"/>
      <c r="L29" s="206"/>
      <c r="M29" s="206"/>
    </row>
    <row r="30" spans="1:13" ht="16.5" customHeight="1">
      <c r="A30" s="206"/>
      <c r="B30" s="310"/>
      <c r="C30" s="200" t="str">
        <f>+B5</f>
        <v>ASISTENTE</v>
      </c>
      <c r="D30" s="208">
        <f>+H5</f>
        <v>869453</v>
      </c>
      <c r="E30" s="208">
        <f>K5</f>
        <v>62499.36</v>
      </c>
      <c r="F30" s="208">
        <f t="shared" si="2"/>
        <v>806953.64</v>
      </c>
      <c r="G30" s="312"/>
      <c r="H30" s="303"/>
      <c r="I30" s="210"/>
      <c r="J30" s="206"/>
      <c r="K30" s="206"/>
      <c r="L30" s="206"/>
      <c r="M30" s="206"/>
    </row>
    <row r="31" spans="1:13" ht="16.5" customHeight="1">
      <c r="A31" s="206"/>
      <c r="B31" s="309" t="str">
        <f>+A15</f>
        <v>OPERATIVA</v>
      </c>
      <c r="C31" s="217" t="str">
        <f>+B16</f>
        <v>PERIODISTAS</v>
      </c>
      <c r="D31" s="208">
        <f>+H16</f>
        <v>231854.13333333333</v>
      </c>
      <c r="E31" s="208">
        <f>K16</f>
        <v>11491.450666666668</v>
      </c>
      <c r="F31" s="208">
        <f t="shared" si="2"/>
        <v>220362.68266666666</v>
      </c>
      <c r="G31" s="311">
        <f>M23</f>
        <v>360239.60038400005</v>
      </c>
      <c r="H31" s="304">
        <f>(F31+F32+F33+F34+G31)*12</f>
        <v>14900283.972608</v>
      </c>
      <c r="I31" s="210">
        <f>+H31</f>
        <v>14900283.972608</v>
      </c>
      <c r="J31" s="206"/>
      <c r="K31" s="206"/>
      <c r="L31" s="206"/>
      <c r="M31" s="206"/>
    </row>
    <row r="32" spans="1:13" ht="16.5" customHeight="1">
      <c r="A32" s="206"/>
      <c r="B32" s="310"/>
      <c r="C32" s="217" t="str">
        <f>+B17</f>
        <v>PRESENTADORES</v>
      </c>
      <c r="D32" s="208">
        <f>+H17</f>
        <v>231854.13333333333</v>
      </c>
      <c r="E32" s="208">
        <f>K17</f>
        <v>11491.450666666668</v>
      </c>
      <c r="F32" s="208">
        <f t="shared" si="2"/>
        <v>220362.68266666666</v>
      </c>
      <c r="G32" s="312"/>
      <c r="H32" s="305"/>
      <c r="I32" s="210"/>
      <c r="J32" s="206"/>
      <c r="K32" s="206"/>
      <c r="L32" s="206"/>
      <c r="M32" s="206"/>
    </row>
    <row r="33" spans="1:13" ht="16.5" customHeight="1">
      <c r="A33" s="206"/>
      <c r="B33" s="310"/>
      <c r="C33" s="217" t="str">
        <f>+B18</f>
        <v>CAMARÓGRAFOS</v>
      </c>
      <c r="D33" s="208">
        <f>+H18</f>
        <v>231854.13333333333</v>
      </c>
      <c r="E33" s="208">
        <f>K18</f>
        <v>11491.450666666668</v>
      </c>
      <c r="F33" s="208">
        <f t="shared" si="2"/>
        <v>220362.68266666666</v>
      </c>
      <c r="G33" s="312"/>
      <c r="H33" s="305"/>
      <c r="I33" s="210"/>
      <c r="J33" s="206"/>
      <c r="K33" s="206"/>
      <c r="L33" s="206"/>
      <c r="M33" s="206"/>
    </row>
    <row r="34" spans="1:13" ht="16.5" customHeight="1">
      <c r="A34" s="206"/>
      <c r="B34" s="316"/>
      <c r="C34" s="217" t="str">
        <f>+B19</f>
        <v>DISEÑADOR GRÁFICO</v>
      </c>
      <c r="D34" s="208">
        <f>+H19</f>
        <v>231854.13333333333</v>
      </c>
      <c r="E34" s="208">
        <f>K19</f>
        <v>11491.450666666668</v>
      </c>
      <c r="F34" s="208">
        <f t="shared" si="2"/>
        <v>220362.68266666666</v>
      </c>
      <c r="G34" s="317"/>
      <c r="H34" s="209" t="str">
        <f>+B31</f>
        <v>OPERATIVA</v>
      </c>
      <c r="I34" s="210"/>
      <c r="J34" s="206"/>
      <c r="K34" s="206"/>
      <c r="L34" s="206"/>
      <c r="M34" s="206"/>
    </row>
    <row r="35" spans="1:13" ht="13.5">
      <c r="A35" s="206"/>
      <c r="B35" s="318" t="s">
        <v>331</v>
      </c>
      <c r="C35" s="318"/>
      <c r="D35" s="211">
        <f>SUM(D29:D34)</f>
        <v>3447564.533333333</v>
      </c>
      <c r="E35" s="211">
        <f>SUM(E29:E34)</f>
        <v>233463.8826666667</v>
      </c>
      <c r="F35" s="211">
        <f>SUM(F29:F34)</f>
        <v>3214100.650666667</v>
      </c>
      <c r="G35" s="211">
        <f>SUM(G29:G34)</f>
        <v>1606664.531104</v>
      </c>
      <c r="I35" s="206"/>
      <c r="J35" s="206"/>
      <c r="K35" s="206"/>
      <c r="L35" s="206"/>
      <c r="M35" s="206"/>
    </row>
    <row r="36" spans="1:13" ht="13.5">
      <c r="A36" s="206"/>
      <c r="B36" s="318" t="s">
        <v>362</v>
      </c>
      <c r="C36" s="318"/>
      <c r="D36" s="319">
        <f>F35+G35</f>
        <v>4820765.181770667</v>
      </c>
      <c r="E36" s="320"/>
      <c r="F36" s="320"/>
      <c r="G36" s="321"/>
      <c r="H36" s="212"/>
      <c r="I36" s="206"/>
      <c r="J36" s="206"/>
      <c r="K36" s="206"/>
      <c r="L36" s="206"/>
      <c r="M36" s="206"/>
    </row>
    <row r="40" ht="12.75">
      <c r="J40" s="213"/>
    </row>
  </sheetData>
  <sheetProtection/>
  <mergeCells count="24">
    <mergeCell ref="B31:B34"/>
    <mergeCell ref="G31:G34"/>
    <mergeCell ref="B35:C35"/>
    <mergeCell ref="B36:C36"/>
    <mergeCell ref="D36:G36"/>
    <mergeCell ref="L2:L3"/>
    <mergeCell ref="M2:M3"/>
    <mergeCell ref="B22:B23"/>
    <mergeCell ref="B28:C28"/>
    <mergeCell ref="B29:B30"/>
    <mergeCell ref="G29:G30"/>
    <mergeCell ref="B14:B15"/>
    <mergeCell ref="C14:H14"/>
    <mergeCell ref="I14:K14"/>
    <mergeCell ref="A15:A21"/>
    <mergeCell ref="H29:H30"/>
    <mergeCell ref="H31:H33"/>
    <mergeCell ref="A3:A5"/>
    <mergeCell ref="L14:L15"/>
    <mergeCell ref="M14:M15"/>
    <mergeCell ref="B9:B10"/>
    <mergeCell ref="B2:B3"/>
    <mergeCell ref="C2:H2"/>
    <mergeCell ref="I2:K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6"/>
    <pageSetUpPr fitToPage="1"/>
  </sheetPr>
  <dimension ref="A1:H21"/>
  <sheetViews>
    <sheetView showGridLines="0" zoomScalePageLayoutView="0" workbookViewId="0" topLeftCell="A1">
      <pane ySplit="1" topLeftCell="A2" activePane="bottomLeft" state="frozen"/>
      <selection pane="topLeft" activeCell="A1" sqref="A1:IV16384"/>
      <selection pane="bottomLeft" activeCell="B26" sqref="B26"/>
    </sheetView>
  </sheetViews>
  <sheetFormatPr defaultColWidth="11.421875" defaultRowHeight="12.75"/>
  <cols>
    <col min="1" max="1" width="31.00390625" style="75" bestFit="1" customWidth="1"/>
    <col min="2" max="2" width="11.421875" style="28" customWidth="1"/>
    <col min="3" max="3" width="39.7109375" style="28" customWidth="1"/>
    <col min="4" max="16384" width="11.421875" style="28" customWidth="1"/>
  </cols>
  <sheetData>
    <row r="1" spans="1:3" s="74" customFormat="1" ht="12.75">
      <c r="A1" s="73" t="s">
        <v>40</v>
      </c>
      <c r="B1" s="30" t="s">
        <v>41</v>
      </c>
      <c r="C1" s="30" t="s">
        <v>42</v>
      </c>
    </row>
    <row r="2" ht="20.25" customHeight="1" thickBot="1"/>
    <row r="3" spans="1:8" ht="14.25" thickBot="1" thickTop="1">
      <c r="A3" s="154" t="s">
        <v>30</v>
      </c>
      <c r="B3" s="31"/>
      <c r="C3" s="31"/>
      <c r="D3" s="31"/>
      <c r="E3" s="31"/>
      <c r="F3" s="31"/>
      <c r="G3" s="31"/>
      <c r="H3" s="31"/>
    </row>
    <row r="4" ht="15" customHeight="1" thickTop="1"/>
    <row r="5" spans="1:3" ht="12.75">
      <c r="A5" s="76" t="s">
        <v>43</v>
      </c>
      <c r="B5" s="77">
        <v>0</v>
      </c>
      <c r="C5" s="78" t="s">
        <v>292</v>
      </c>
    </row>
    <row r="6" spans="1:3" ht="12.75">
      <c r="A6" s="76" t="s">
        <v>44</v>
      </c>
      <c r="B6" s="77">
        <v>5</v>
      </c>
      <c r="C6" s="78" t="s">
        <v>293</v>
      </c>
    </row>
    <row r="7" spans="1:3" ht="12.75">
      <c r="A7" s="76" t="s">
        <v>45</v>
      </c>
      <c r="B7" s="79">
        <v>0.15</v>
      </c>
      <c r="C7" s="78" t="s">
        <v>46</v>
      </c>
    </row>
    <row r="8" ht="21" customHeight="1" thickBot="1"/>
    <row r="9" spans="1:8" ht="14.25" thickBot="1" thickTop="1">
      <c r="A9" s="154" t="s">
        <v>191</v>
      </c>
      <c r="B9" s="31"/>
      <c r="C9" s="31"/>
      <c r="D9" s="31"/>
      <c r="E9" s="31"/>
      <c r="F9" s="31"/>
      <c r="G9" s="31"/>
      <c r="H9" s="31"/>
    </row>
    <row r="10" ht="23.25" customHeight="1" thickTop="1"/>
    <row r="11" spans="1:3" ht="12.75">
      <c r="A11" s="76" t="s">
        <v>136</v>
      </c>
      <c r="B11" s="80">
        <v>20</v>
      </c>
      <c r="C11" s="78" t="s">
        <v>140</v>
      </c>
    </row>
    <row r="12" spans="1:3" ht="12.75">
      <c r="A12" s="76" t="s">
        <v>131</v>
      </c>
      <c r="B12" s="81">
        <v>10</v>
      </c>
      <c r="C12" s="78" t="s">
        <v>140</v>
      </c>
    </row>
    <row r="13" spans="1:3" ht="12.75">
      <c r="A13" s="76" t="s">
        <v>137</v>
      </c>
      <c r="B13" s="81">
        <v>10</v>
      </c>
      <c r="C13" s="78" t="s">
        <v>140</v>
      </c>
    </row>
    <row r="14" spans="1:3" ht="12.75">
      <c r="A14" s="76" t="s">
        <v>134</v>
      </c>
      <c r="B14" s="81">
        <v>5</v>
      </c>
      <c r="C14" s="78" t="s">
        <v>140</v>
      </c>
    </row>
    <row r="15" spans="1:3" ht="12.75">
      <c r="A15" s="76" t="s">
        <v>141</v>
      </c>
      <c r="B15" s="81">
        <v>5</v>
      </c>
      <c r="C15" s="78" t="s">
        <v>140</v>
      </c>
    </row>
    <row r="16" spans="1:3" ht="12.75">
      <c r="A16" s="76" t="s">
        <v>197</v>
      </c>
      <c r="B16" s="80">
        <v>0</v>
      </c>
      <c r="C16" s="78" t="s">
        <v>245</v>
      </c>
    </row>
    <row r="17" spans="1:3" ht="12.75">
      <c r="A17" s="76" t="s">
        <v>154</v>
      </c>
      <c r="B17" s="80">
        <v>0</v>
      </c>
      <c r="C17" s="78" t="s">
        <v>245</v>
      </c>
    </row>
    <row r="18" ht="5.25" customHeight="1" thickBot="1"/>
    <row r="19" spans="1:8" ht="14.25" thickBot="1" thickTop="1">
      <c r="A19" s="154" t="s">
        <v>196</v>
      </c>
      <c r="B19" s="31"/>
      <c r="C19" s="31"/>
      <c r="D19" s="31"/>
      <c r="E19" s="31"/>
      <c r="F19" s="31"/>
      <c r="G19" s="31"/>
      <c r="H19" s="31"/>
    </row>
    <row r="20" ht="20.25" customHeight="1" thickTop="1"/>
    <row r="21" spans="1:3" ht="12.75">
      <c r="A21" s="76" t="s">
        <v>237</v>
      </c>
      <c r="B21" s="80">
        <v>1</v>
      </c>
      <c r="C21" s="78" t="s">
        <v>244</v>
      </c>
    </row>
  </sheetData>
  <sheetProtection/>
  <dataValidations count="5">
    <dataValidation type="whole" allowBlank="1" showInputMessage="1" showErrorMessage="1" promptTitle="Período de Graciia" prompt="Años de gracia en las obligaciones financieras" sqref="B5">
      <formula1>0</formula1>
      <formula2>B6-1</formula2>
    </dataValidation>
    <dataValidation type="whole" allowBlank="1" showInputMessage="1" showErrorMessage="1" promptTitle="Plazo Obligaciones Financieras" prompt="Plazo total de las Obligaciones financieras (en años)" sqref="B6">
      <formula1>0</formula1>
      <formula2>10</formula2>
    </dataValidation>
    <dataValidation allowBlank="1" showInputMessage="1" showErrorMessage="1" promptTitle="Tasa sobre la DTF" prompt="Puntos por encima de la DTF de las Obligaciones Financieras" sqref="B7"/>
    <dataValidation type="whole" allowBlank="1" showInputMessage="1" showErrorMessage="1" promptTitle="Vida Util" prompt="Vida util proyectada del tipo de activo" error="Debe ser un número entero entre 0 y 50" sqref="B11:B17">
      <formula1>0</formula1>
      <formula2>20</formula2>
    </dataValidation>
    <dataValidation type="whole" allowBlank="1" showInputMessage="1" showErrorMessage="1" promptTitle="Amort. Gastos Anticipados" prompt="Años de amortización de los gastos anticipados" error="Debe ser un número entero entre 0 y 10 años" sqref="B21">
      <formula1>0</formula1>
      <formula2>10</formula2>
    </dataValidation>
  </dataValidations>
  <printOptions gridLines="1" horizontalCentered="1" verticalCentered="1"/>
  <pageMargins left="0.1968503937007874" right="0.1968503937007874" top="0.984251968503937" bottom="0.3937007874015748" header="0.5905511811023623" footer="0.5118110236220472"/>
  <pageSetup fitToHeight="1" fitToWidth="1" horizontalDpi="300" verticalDpi="300" orientation="landscape" r:id="rId1"/>
  <headerFooter alignWithMargins="0">
    <oddHeader>&amp;C&amp;"Arial,Negrita"&amp;14MODELAJE FINANCIERO
&amp;12BASES ANUALES&amp;"Arial,Normal"&amp;10
</oddHeader>
    <oddFooter>&amp;L&amp;"Arial,Negrita"&amp;8&amp;F&amp;C&amp;"Arial,Negrita"&amp;8Página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B2:H19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11.421875" style="218" customWidth="1"/>
    <col min="2" max="2" width="34.28125" style="218" customWidth="1"/>
    <col min="3" max="3" width="23.57421875" style="218" customWidth="1"/>
    <col min="4" max="4" width="12.421875" style="218" customWidth="1"/>
    <col min="5" max="5" width="11.7109375" style="218" customWidth="1"/>
    <col min="6" max="6" width="27.28125" style="218" customWidth="1"/>
    <col min="7" max="7" width="19.7109375" style="218" customWidth="1"/>
    <col min="8" max="8" width="19.421875" style="218" customWidth="1"/>
    <col min="9" max="16384" width="11.421875" style="218" customWidth="1"/>
  </cols>
  <sheetData>
    <row r="1" ht="12.75"/>
    <row r="2" spans="2:8" ht="15">
      <c r="B2" s="218" t="s">
        <v>363</v>
      </c>
      <c r="F2" s="237" t="s">
        <v>364</v>
      </c>
      <c r="G2" s="238" t="s">
        <v>365</v>
      </c>
      <c r="H2" s="238" t="s">
        <v>366</v>
      </c>
    </row>
    <row r="3" spans="2:8" ht="12.75">
      <c r="B3" s="235" t="s">
        <v>327</v>
      </c>
      <c r="C3" s="236" t="s">
        <v>329</v>
      </c>
      <c r="E3" s="219">
        <v>2</v>
      </c>
      <c r="F3" s="220" t="s">
        <v>425</v>
      </c>
      <c r="G3" s="221">
        <v>25000</v>
      </c>
      <c r="H3" s="222">
        <f>+E3*G3</f>
        <v>50000</v>
      </c>
    </row>
    <row r="4" spans="2:8" ht="12.75">
      <c r="B4" s="243" t="s">
        <v>367</v>
      </c>
      <c r="C4" s="223">
        <v>1100000</v>
      </c>
      <c r="E4" s="219">
        <v>3</v>
      </c>
      <c r="F4" s="220" t="s">
        <v>426</v>
      </c>
      <c r="G4" s="221">
        <v>10000</v>
      </c>
      <c r="H4" s="222">
        <f>G4*E4</f>
        <v>30000</v>
      </c>
    </row>
    <row r="5" spans="2:8" ht="25.5">
      <c r="B5" s="243" t="s">
        <v>372</v>
      </c>
      <c r="C5" s="223">
        <v>400000</v>
      </c>
      <c r="E5" s="219">
        <v>1</v>
      </c>
      <c r="F5" s="242" t="s">
        <v>368</v>
      </c>
      <c r="G5" s="221">
        <v>9000</v>
      </c>
      <c r="H5" s="222">
        <f>G5*E5</f>
        <v>9000</v>
      </c>
    </row>
    <row r="6" spans="2:8" ht="15">
      <c r="B6" s="228" t="s">
        <v>331</v>
      </c>
      <c r="C6" s="229">
        <f>SUM(C4:C5)</f>
        <v>1500000</v>
      </c>
      <c r="E6" s="219"/>
      <c r="F6" s="224" t="s">
        <v>331</v>
      </c>
      <c r="G6" s="225">
        <f>SUM(G3:G5)</f>
        <v>44000</v>
      </c>
      <c r="H6" s="226">
        <f>SUM(H3:H5)</f>
        <v>89000</v>
      </c>
    </row>
    <row r="7" spans="2:8" ht="12.75">
      <c r="B7" s="239" t="s">
        <v>369</v>
      </c>
      <c r="C7" s="241">
        <f>C6*12</f>
        <v>18000000</v>
      </c>
      <c r="G7" s="239" t="s">
        <v>361</v>
      </c>
      <c r="H7" s="240">
        <f>H6*12</f>
        <v>1068000</v>
      </c>
    </row>
    <row r="8" ht="12.75">
      <c r="E8" s="227"/>
    </row>
    <row r="9" spans="2:5" ht="12.75">
      <c r="B9" s="230" t="s">
        <v>370</v>
      </c>
      <c r="E9" s="227"/>
    </row>
    <row r="10" ht="12.75">
      <c r="B10" s="218" t="s">
        <v>371</v>
      </c>
    </row>
    <row r="11" ht="12.75">
      <c r="B11" s="285">
        <f>+'Nomina '!I29+'Gastos de administraci y ventas'!C7+'Gastos de administraci y ventas'!H7</f>
        <v>62016898.20864</v>
      </c>
    </row>
    <row r="12" ht="12.75">
      <c r="B12" s="232"/>
    </row>
    <row r="13" ht="12.75">
      <c r="B13" s="231"/>
    </row>
    <row r="15" ht="12.75">
      <c r="B15" s="232"/>
    </row>
    <row r="16" spans="2:3" ht="12.75">
      <c r="B16" s="233"/>
      <c r="C16" s="199"/>
    </row>
    <row r="18" ht="12.75">
      <c r="D18" s="199"/>
    </row>
    <row r="19" spans="2:5" ht="12.75">
      <c r="B19" s="284"/>
      <c r="E19" s="234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B3:I17"/>
  <sheetViews>
    <sheetView zoomScale="70" zoomScaleNormal="70" zoomScalePageLayoutView="0" workbookViewId="0" topLeftCell="A13">
      <selection activeCell="D16" sqref="D16"/>
    </sheetView>
  </sheetViews>
  <sheetFormatPr defaultColWidth="11.421875" defaultRowHeight="12.75"/>
  <cols>
    <col min="1" max="1" width="11.421875" style="244" customWidth="1"/>
    <col min="2" max="2" width="26.28125" style="249" customWidth="1"/>
    <col min="3" max="3" width="34.28125" style="244" customWidth="1"/>
    <col min="4" max="4" width="34.7109375" style="244" customWidth="1"/>
    <col min="5" max="5" width="16.421875" style="248" customWidth="1"/>
    <col min="6" max="6" width="21.57421875" style="246" bestFit="1" customWidth="1"/>
    <col min="7" max="7" width="19.7109375" style="246" customWidth="1"/>
    <col min="8" max="8" width="11.421875" style="247" customWidth="1"/>
    <col min="9" max="16384" width="11.421875" style="244" customWidth="1"/>
  </cols>
  <sheetData>
    <row r="3" ht="13.5" thickBot="1">
      <c r="D3" s="245"/>
    </row>
    <row r="4" spans="2:7" ht="21.75" customHeight="1">
      <c r="B4" s="252" t="s">
        <v>373</v>
      </c>
      <c r="C4" s="253"/>
      <c r="D4" s="254" t="s">
        <v>374</v>
      </c>
      <c r="E4" s="254" t="s">
        <v>328</v>
      </c>
      <c r="F4" s="255" t="s">
        <v>375</v>
      </c>
      <c r="G4" s="256" t="s">
        <v>376</v>
      </c>
    </row>
    <row r="5" spans="2:7" ht="145.5" customHeight="1">
      <c r="B5" s="274" t="s">
        <v>401</v>
      </c>
      <c r="C5" s="168"/>
      <c r="D5" s="251" t="s">
        <v>402</v>
      </c>
      <c r="E5" s="251">
        <v>4</v>
      </c>
      <c r="F5" s="275">
        <v>9288232</v>
      </c>
      <c r="G5" s="257">
        <f aca="true" t="shared" si="0" ref="G5:G16">+F5*E5</f>
        <v>37152928</v>
      </c>
    </row>
    <row r="6" spans="2:7" ht="200.25" customHeight="1">
      <c r="B6" s="274" t="s">
        <v>403</v>
      </c>
      <c r="C6" s="168"/>
      <c r="D6" s="251" t="s">
        <v>404</v>
      </c>
      <c r="E6" s="251">
        <v>3</v>
      </c>
      <c r="F6" s="275">
        <v>2480000</v>
      </c>
      <c r="G6" s="257">
        <f t="shared" si="0"/>
        <v>7440000</v>
      </c>
    </row>
    <row r="7" spans="2:9" ht="150.75" customHeight="1">
      <c r="B7" s="274" t="s">
        <v>405</v>
      </c>
      <c r="C7" s="168"/>
      <c r="D7" s="251" t="s">
        <v>406</v>
      </c>
      <c r="E7" s="251">
        <v>3</v>
      </c>
      <c r="F7" s="250">
        <v>549900</v>
      </c>
      <c r="G7" s="257">
        <f t="shared" si="0"/>
        <v>1649700</v>
      </c>
      <c r="I7"/>
    </row>
    <row r="8" spans="2:9" s="247" customFormat="1" ht="140.25" customHeight="1">
      <c r="B8" s="274" t="s">
        <v>407</v>
      </c>
      <c r="C8" s="168"/>
      <c r="D8" s="251" t="s">
        <v>408</v>
      </c>
      <c r="E8" s="251">
        <v>1</v>
      </c>
      <c r="F8" s="250">
        <v>1508990</v>
      </c>
      <c r="G8" s="257">
        <f t="shared" si="0"/>
        <v>1508990</v>
      </c>
      <c r="I8" s="244"/>
    </row>
    <row r="9" spans="2:9" s="247" customFormat="1" ht="140.25" customHeight="1">
      <c r="B9" s="274" t="s">
        <v>409</v>
      </c>
      <c r="C9" s="168"/>
      <c r="D9" s="251" t="s">
        <v>410</v>
      </c>
      <c r="E9" s="251">
        <v>1</v>
      </c>
      <c r="F9" s="250">
        <v>2749900</v>
      </c>
      <c r="G9" s="257">
        <f t="shared" si="0"/>
        <v>2749900</v>
      </c>
      <c r="I9" s="244"/>
    </row>
    <row r="10" spans="2:9" s="247" customFormat="1" ht="140.25" customHeight="1">
      <c r="B10" s="274" t="s">
        <v>411</v>
      </c>
      <c r="C10" s="168"/>
      <c r="D10" s="251" t="s">
        <v>412</v>
      </c>
      <c r="E10" s="251">
        <v>1</v>
      </c>
      <c r="F10" s="250">
        <v>296900</v>
      </c>
      <c r="G10" s="257">
        <f t="shared" si="0"/>
        <v>296900</v>
      </c>
      <c r="I10" s="244"/>
    </row>
    <row r="11" spans="2:9" s="247" customFormat="1" ht="140.25" customHeight="1">
      <c r="B11" s="276" t="s">
        <v>413</v>
      </c>
      <c r="C11" s="168"/>
      <c r="D11" s="251" t="s">
        <v>414</v>
      </c>
      <c r="E11" s="251">
        <v>1</v>
      </c>
      <c r="F11" s="250">
        <v>677470</v>
      </c>
      <c r="G11" s="257">
        <f t="shared" si="0"/>
        <v>677470</v>
      </c>
      <c r="I11" s="244"/>
    </row>
    <row r="12" spans="2:9" s="247" customFormat="1" ht="140.25" customHeight="1">
      <c r="B12" s="277" t="s">
        <v>415</v>
      </c>
      <c r="C12" s="168"/>
      <c r="D12" s="251" t="s">
        <v>416</v>
      </c>
      <c r="E12" s="251">
        <v>5</v>
      </c>
      <c r="F12" s="250">
        <v>11700</v>
      </c>
      <c r="G12" s="257">
        <f t="shared" si="0"/>
        <v>58500</v>
      </c>
      <c r="I12" s="244"/>
    </row>
    <row r="13" spans="2:9" s="247" customFormat="1" ht="140.25" customHeight="1">
      <c r="B13" s="274" t="s">
        <v>417</v>
      </c>
      <c r="C13" s="168"/>
      <c r="D13" s="251" t="s">
        <v>418</v>
      </c>
      <c r="E13" s="251">
        <v>3</v>
      </c>
      <c r="F13" s="250">
        <v>338000</v>
      </c>
      <c r="G13" s="257">
        <f t="shared" si="0"/>
        <v>1014000</v>
      </c>
      <c r="I13" s="244"/>
    </row>
    <row r="14" spans="2:9" s="247" customFormat="1" ht="140.25" customHeight="1">
      <c r="B14" s="274" t="s">
        <v>419</v>
      </c>
      <c r="C14" s="168"/>
      <c r="D14" s="251" t="s">
        <v>420</v>
      </c>
      <c r="E14" s="251">
        <v>1</v>
      </c>
      <c r="F14" s="250">
        <v>688900</v>
      </c>
      <c r="G14" s="257">
        <f t="shared" si="0"/>
        <v>688900</v>
      </c>
      <c r="I14" s="244"/>
    </row>
    <row r="15" spans="2:9" s="247" customFormat="1" ht="148.5" customHeight="1">
      <c r="B15" s="274" t="s">
        <v>421</v>
      </c>
      <c r="C15" s="168"/>
      <c r="D15" s="251" t="s">
        <v>422</v>
      </c>
      <c r="E15" s="251">
        <v>1</v>
      </c>
      <c r="F15" s="250">
        <v>899000</v>
      </c>
      <c r="G15" s="257">
        <f t="shared" si="0"/>
        <v>899000</v>
      </c>
      <c r="I15" s="244"/>
    </row>
    <row r="16" spans="2:7" ht="147" customHeight="1">
      <c r="B16" s="278" t="s">
        <v>423</v>
      </c>
      <c r="C16" s="168"/>
      <c r="D16" s="251" t="s">
        <v>424</v>
      </c>
      <c r="E16" s="251">
        <v>1</v>
      </c>
      <c r="F16" s="250">
        <v>64990</v>
      </c>
      <c r="G16" s="257">
        <f t="shared" si="0"/>
        <v>64990</v>
      </c>
    </row>
    <row r="17" spans="2:7" ht="13.5" thickBot="1">
      <c r="B17" s="258" t="s">
        <v>325</v>
      </c>
      <c r="C17" s="322"/>
      <c r="D17" s="323"/>
      <c r="E17" s="323"/>
      <c r="F17" s="324"/>
      <c r="G17" s="259">
        <f>SUM(G5:G16)</f>
        <v>54201278</v>
      </c>
    </row>
  </sheetData>
  <sheetProtection/>
  <mergeCells count="1">
    <mergeCell ref="C17:F1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B2:E18"/>
  <sheetViews>
    <sheetView zoomScale="80" zoomScaleNormal="80" zoomScalePageLayoutView="0" workbookViewId="0" topLeftCell="A1">
      <selection activeCell="B3" sqref="B3:E9"/>
    </sheetView>
  </sheetViews>
  <sheetFormatPr defaultColWidth="11.421875" defaultRowHeight="12.75"/>
  <cols>
    <col min="1" max="1" width="11.421875" style="199" customWidth="1"/>
    <col min="2" max="2" width="26.7109375" style="270" customWidth="1"/>
    <col min="3" max="3" width="9.57421875" style="199" customWidth="1"/>
    <col min="4" max="4" width="18.421875" style="199" customWidth="1"/>
    <col min="5" max="5" width="21.7109375" style="199" customWidth="1"/>
    <col min="6" max="16384" width="11.421875" style="199" customWidth="1"/>
  </cols>
  <sheetData>
    <row r="1" ht="12.75"/>
    <row r="2" spans="2:5" ht="15">
      <c r="B2" s="260" t="s">
        <v>377</v>
      </c>
      <c r="C2" s="260" t="s">
        <v>378</v>
      </c>
      <c r="D2" s="261" t="s">
        <v>379</v>
      </c>
      <c r="E2" s="262" t="s">
        <v>380</v>
      </c>
    </row>
    <row r="3" spans="2:5" ht="19.5" customHeight="1">
      <c r="B3" s="263" t="s">
        <v>400</v>
      </c>
      <c r="C3" s="264">
        <v>2</v>
      </c>
      <c r="D3" s="265">
        <v>2000000</v>
      </c>
      <c r="E3" s="266">
        <f aca="true" t="shared" si="0" ref="E3:E8">D3*C3</f>
        <v>4000000</v>
      </c>
    </row>
    <row r="4" spans="2:5" ht="19.5" customHeight="1">
      <c r="B4" s="263" t="s">
        <v>381</v>
      </c>
      <c r="C4" s="264">
        <v>2</v>
      </c>
      <c r="D4" s="265">
        <v>250000</v>
      </c>
      <c r="E4" s="266">
        <f t="shared" si="0"/>
        <v>500000</v>
      </c>
    </row>
    <row r="5" spans="2:5" ht="19.5" customHeight="1">
      <c r="B5" s="263" t="s">
        <v>382</v>
      </c>
      <c r="C5" s="264">
        <v>4</v>
      </c>
      <c r="D5" s="265">
        <v>80000</v>
      </c>
      <c r="E5" s="266">
        <f t="shared" si="0"/>
        <v>320000</v>
      </c>
    </row>
    <row r="6" spans="2:5" ht="19.5" customHeight="1">
      <c r="B6" s="263" t="s">
        <v>383</v>
      </c>
      <c r="C6" s="264">
        <v>1</v>
      </c>
      <c r="D6" s="265">
        <v>300000</v>
      </c>
      <c r="E6" s="266">
        <f t="shared" si="0"/>
        <v>300000</v>
      </c>
    </row>
    <row r="7" spans="2:5" ht="19.5" customHeight="1">
      <c r="B7" s="263" t="s">
        <v>384</v>
      </c>
      <c r="C7" s="264">
        <v>1</v>
      </c>
      <c r="D7" s="265">
        <v>200000</v>
      </c>
      <c r="E7" s="266">
        <f t="shared" si="0"/>
        <v>200000</v>
      </c>
    </row>
    <row r="8" spans="2:5" ht="19.5" customHeight="1">
      <c r="B8" s="251" t="s">
        <v>196</v>
      </c>
      <c r="C8" s="267">
        <v>10</v>
      </c>
      <c r="D8" s="250">
        <v>60000</v>
      </c>
      <c r="E8" s="266">
        <f t="shared" si="0"/>
        <v>600000</v>
      </c>
    </row>
    <row r="9" spans="2:5" ht="12.75">
      <c r="B9" s="325" t="s">
        <v>331</v>
      </c>
      <c r="C9" s="325"/>
      <c r="D9" s="325"/>
      <c r="E9" s="268">
        <f>SUM(E3:E8)</f>
        <v>5920000</v>
      </c>
    </row>
    <row r="10" ht="12.75"/>
    <row r="11" ht="12.75"/>
    <row r="12" ht="12.75"/>
    <row r="13" ht="12.75"/>
    <row r="17" ht="12.75">
      <c r="B17" s="269"/>
    </row>
    <row r="18" ht="12.75">
      <c r="B18" s="269"/>
    </row>
  </sheetData>
  <sheetProtection/>
  <mergeCells count="1">
    <mergeCell ref="B9:D9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theme="6"/>
    <pageSetUpPr fitToPage="1"/>
  </sheetPr>
  <dimension ref="A1:F30"/>
  <sheetViews>
    <sheetView showGridLines="0" zoomScalePageLayoutView="0" workbookViewId="0" topLeftCell="A1">
      <pane xSplit="1" ySplit="2" topLeftCell="B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0" sqref="B10"/>
    </sheetView>
  </sheetViews>
  <sheetFormatPr defaultColWidth="11.421875" defaultRowHeight="12.75" outlineLevelRow="1"/>
  <cols>
    <col min="1" max="1" width="38.8515625" style="130" customWidth="1"/>
    <col min="2" max="2" width="17.421875" style="113" customWidth="1"/>
    <col min="3" max="4" width="17.421875" style="112" customWidth="1"/>
    <col min="5" max="6" width="19.57421875" style="112" customWidth="1"/>
    <col min="7" max="16384" width="11.421875" style="112" customWidth="1"/>
  </cols>
  <sheetData>
    <row r="1" spans="2:6" ht="13.5" thickBot="1">
      <c r="B1" s="111">
        <f>Proyecciones!D2</f>
        <v>2019</v>
      </c>
      <c r="C1" s="111">
        <f>Proyecciones!E2</f>
        <v>2020</v>
      </c>
      <c r="D1" s="111">
        <f>Proyecciones!F2</f>
        <v>2021</v>
      </c>
      <c r="E1" s="111">
        <f>Proyecciones!G2</f>
        <v>2022</v>
      </c>
      <c r="F1" s="111">
        <f>Proyecciones!H2</f>
        <v>2023</v>
      </c>
    </row>
    <row r="2" ht="14.25" thickBot="1" thickTop="1">
      <c r="A2" s="154" t="s">
        <v>63</v>
      </c>
    </row>
    <row r="3" spans="1:6" ht="13.5" thickTop="1">
      <c r="A3" s="131" t="s">
        <v>64</v>
      </c>
      <c r="B3" s="54">
        <f>Proyecciones!D34</f>
        <v>146950000</v>
      </c>
      <c r="C3" s="54">
        <f>Proyecciones!E34</f>
        <v>131027000</v>
      </c>
      <c r="D3" s="54">
        <f>Proyecciones!F34</f>
        <v>188239636</v>
      </c>
      <c r="E3" s="54">
        <f>Proyecciones!G34</f>
        <v>250216400.304</v>
      </c>
      <c r="F3" s="54">
        <f>Proyecciones!H34</f>
        <v>332703074.9228161</v>
      </c>
    </row>
    <row r="4" spans="1:6" ht="12.75">
      <c r="A4" s="132" t="s">
        <v>65</v>
      </c>
      <c r="B4" s="54">
        <f>Proyecciones!D37</f>
        <v>0</v>
      </c>
      <c r="C4" s="54">
        <f>Proyecciones!E37</f>
        <v>0</v>
      </c>
      <c r="D4" s="54">
        <f>Proyecciones!F37</f>
        <v>0</v>
      </c>
      <c r="E4" s="54">
        <f>Proyecciones!G37</f>
        <v>0</v>
      </c>
      <c r="F4" s="54">
        <f>Proyecciones!H37</f>
        <v>0</v>
      </c>
    </row>
    <row r="5" spans="1:6" ht="12.75">
      <c r="A5" s="131" t="s">
        <v>243</v>
      </c>
      <c r="B5" s="54">
        <f>Proyecciones!D67</f>
        <v>58585000</v>
      </c>
      <c r="C5" s="54">
        <f>Proyecciones!E67</f>
        <v>52549900</v>
      </c>
      <c r="D5" s="54">
        <f>Proyecciones!F67</f>
        <v>74884914</v>
      </c>
      <c r="E5" s="54">
        <f>Proyecciones!G67</f>
        <v>99314435.89600003</v>
      </c>
      <c r="F5" s="54">
        <f>Proyecciones!H67</f>
        <v>131604095.08022402</v>
      </c>
    </row>
    <row r="6" spans="1:6" ht="12.75">
      <c r="A6" s="131" t="s">
        <v>22</v>
      </c>
      <c r="B6" s="54">
        <f>Proyecciones!D68</f>
        <v>0</v>
      </c>
      <c r="C6" s="54">
        <f>Proyecciones!E68</f>
        <v>0</v>
      </c>
      <c r="D6" s="54">
        <f>Proyecciones!F68</f>
        <v>0</v>
      </c>
      <c r="E6" s="54">
        <f>Proyecciones!G68</f>
        <v>0</v>
      </c>
      <c r="F6" s="54">
        <f>Proyecciones!H68</f>
        <v>0</v>
      </c>
    </row>
    <row r="7" spans="1:6" ht="12.75">
      <c r="A7" s="131" t="s">
        <v>239</v>
      </c>
      <c r="B7" s="54">
        <f>Proyecciones!D151+Proyecciones!D158+Semovientes!C24+Permanentes!C24</f>
        <v>0</v>
      </c>
      <c r="C7" s="54">
        <f>Proyecciones!E151+Proyecciones!E158+Semovientes!D24+Permanentes!D24</f>
        <v>0</v>
      </c>
      <c r="D7" s="54">
        <f>Proyecciones!F151+Proyecciones!F158+Semovientes!E24+Permanentes!E24</f>
        <v>0</v>
      </c>
      <c r="E7" s="54">
        <f>Proyecciones!G151+Proyecciones!G158+Semovientes!F24+Permanentes!F24</f>
        <v>0</v>
      </c>
      <c r="F7" s="54">
        <f>Proyecciones!H151+Proyecciones!H158+Semovientes!G24+Permanentes!G24</f>
        <v>0</v>
      </c>
    </row>
    <row r="8" spans="1:6" ht="12.75">
      <c r="A8" s="131" t="s">
        <v>290</v>
      </c>
      <c r="B8" s="54">
        <f>Proyecciones!D63</f>
        <v>0</v>
      </c>
      <c r="C8" s="54">
        <f>Proyecciones!E63</f>
        <v>0</v>
      </c>
      <c r="D8" s="54">
        <f>Proyecciones!F63</f>
        <v>0</v>
      </c>
      <c r="E8" s="54">
        <f>Proyecciones!G63</f>
        <v>0</v>
      </c>
      <c r="F8" s="54">
        <f>Proyecciones!H63</f>
        <v>0</v>
      </c>
    </row>
    <row r="9" spans="1:6" s="129" customFormat="1" ht="12.75">
      <c r="A9" s="133" t="s">
        <v>66</v>
      </c>
      <c r="B9" s="128">
        <f>B3-B4-B5-B6-B7-B8</f>
        <v>88365000</v>
      </c>
      <c r="C9" s="128">
        <f>C3-C4-C5-C6-C7-C8</f>
        <v>78477100</v>
      </c>
      <c r="D9" s="128">
        <f>D3-D4-D5-D6-D7-D8</f>
        <v>113354722</v>
      </c>
      <c r="E9" s="128">
        <f>E3-E4-E5-E6-E7-E8</f>
        <v>150901964.40799996</v>
      </c>
      <c r="F9" s="128">
        <f>F3-F4-F5-F6-F7-F8</f>
        <v>201098979.84259206</v>
      </c>
    </row>
    <row r="10" spans="1:6" ht="12.75">
      <c r="A10" s="131" t="s">
        <v>67</v>
      </c>
      <c r="B10" s="54">
        <f>Proyecciones!D73</f>
        <v>14900283.972608</v>
      </c>
      <c r="C10" s="54">
        <f>Proyecciones!E73</f>
        <v>15496295.33151232</v>
      </c>
      <c r="D10" s="54">
        <f>Proyecciones!F73</f>
        <v>16116147.144772815</v>
      </c>
      <c r="E10" s="54">
        <f>Proyecciones!G73</f>
        <v>16760793.030563727</v>
      </c>
      <c r="F10" s="54">
        <f>Proyecciones!H73</f>
        <v>17431224.751786277</v>
      </c>
    </row>
    <row r="11" spans="1:6" ht="12.75">
      <c r="A11" s="131" t="s">
        <v>68</v>
      </c>
      <c r="B11" s="54">
        <f>Proyecciones!D74</f>
        <v>62016898.20864</v>
      </c>
      <c r="C11" s="54">
        <f>Proyecciones!E74</f>
        <v>64497574.13698561</v>
      </c>
      <c r="D11" s="54">
        <f>Proyecciones!F74</f>
        <v>67077477.10246503</v>
      </c>
      <c r="E11" s="54">
        <f>Proyecciones!G74</f>
        <v>69760576.18656364</v>
      </c>
      <c r="F11" s="54">
        <f>Proyecciones!H74</f>
        <v>72550999.2340262</v>
      </c>
    </row>
    <row r="12" spans="1:6" ht="12.75">
      <c r="A12" s="131" t="s">
        <v>143</v>
      </c>
      <c r="B12" s="54">
        <f>Proyecciones!D83</f>
        <v>0</v>
      </c>
      <c r="C12" s="54">
        <f>Proyecciones!E83</f>
        <v>0</v>
      </c>
      <c r="D12" s="54">
        <f>Proyecciones!F83</f>
        <v>0</v>
      </c>
      <c r="E12" s="54">
        <f>Proyecciones!G83</f>
        <v>0</v>
      </c>
      <c r="F12" s="54">
        <f>Proyecciones!H83</f>
        <v>0</v>
      </c>
    </row>
    <row r="13" spans="1:6" ht="12.75">
      <c r="A13" s="131" t="s">
        <v>241</v>
      </c>
      <c r="B13" s="54">
        <f>Anticipados!D27</f>
        <v>0</v>
      </c>
      <c r="C13" s="54">
        <f>Anticipados!E27</f>
        <v>0</v>
      </c>
      <c r="D13" s="54">
        <f>Anticipados!F27</f>
        <v>0</v>
      </c>
      <c r="E13" s="54">
        <f>Anticipados!G27</f>
        <v>0</v>
      </c>
      <c r="F13" s="54">
        <f>Anticipados!H27</f>
        <v>0</v>
      </c>
    </row>
    <row r="14" spans="1:6" s="129" customFormat="1" ht="12.75">
      <c r="A14" s="134" t="s">
        <v>69</v>
      </c>
      <c r="B14" s="128">
        <f>B9-SUM(B10:B13)</f>
        <v>11447817.81875199</v>
      </c>
      <c r="C14" s="128">
        <f>C9-SUM(C10:C13)</f>
        <v>-1516769.468497932</v>
      </c>
      <c r="D14" s="128">
        <f>D9-SUM(D10:D13)</f>
        <v>30161097.752762154</v>
      </c>
      <c r="E14" s="128">
        <f>E9-SUM(E10:E13)</f>
        <v>64380595.190872595</v>
      </c>
      <c r="F14" s="128">
        <f>F9-SUM(F10:F13)</f>
        <v>111116755.85677959</v>
      </c>
    </row>
    <row r="15" spans="1:6" s="124" customFormat="1" ht="12.75" outlineLevel="1">
      <c r="A15" s="122" t="s">
        <v>70</v>
      </c>
      <c r="B15" s="123"/>
      <c r="C15" s="123"/>
      <c r="D15" s="123"/>
      <c r="E15" s="123"/>
      <c r="F15" s="123"/>
    </row>
    <row r="16" spans="1:6" s="124" customFormat="1" ht="12.75" outlineLevel="1">
      <c r="A16" s="122" t="s">
        <v>71</v>
      </c>
      <c r="B16" s="123">
        <f>'Deuda $'!D30</f>
        <v>0</v>
      </c>
      <c r="C16" s="123">
        <f>'Deuda $'!E30</f>
        <v>0</v>
      </c>
      <c r="D16" s="123">
        <f>'Deuda $'!F30</f>
        <v>0</v>
      </c>
      <c r="E16" s="123">
        <f>'Deuda $'!G30</f>
        <v>0</v>
      </c>
      <c r="F16" s="123">
        <f>'Deuda $'!H30</f>
        <v>0</v>
      </c>
    </row>
    <row r="17" spans="1:6" ht="12.75">
      <c r="A17" s="135" t="s">
        <v>72</v>
      </c>
      <c r="B17" s="54">
        <f>B15-B16</f>
        <v>0</v>
      </c>
      <c r="C17" s="54">
        <f>C15-C16</f>
        <v>0</v>
      </c>
      <c r="D17" s="54">
        <f>D15-D16</f>
        <v>0</v>
      </c>
      <c r="E17" s="54">
        <f>E15-E16</f>
        <v>0</v>
      </c>
      <c r="F17" s="54">
        <f>F15-F16</f>
        <v>0</v>
      </c>
    </row>
    <row r="18" spans="1:6" s="124" customFormat="1" ht="12.75" outlineLevel="1">
      <c r="A18" s="122" t="s">
        <v>73</v>
      </c>
      <c r="B18" s="123">
        <f>-Proyecciones!D197</f>
        <v>0</v>
      </c>
      <c r="C18" s="123">
        <f>-Proyecciones!E197</f>
        <v>0</v>
      </c>
      <c r="D18" s="123">
        <f>-Proyecciones!F197</f>
        <v>-461635.33136757725</v>
      </c>
      <c r="E18" s="123">
        <f>-Proyecciones!G197</f>
        <v>-416017.6090311983</v>
      </c>
      <c r="F18" s="123">
        <f>-Proyecciones!H197</f>
        <v>-1583537.1733813079</v>
      </c>
    </row>
    <row r="19" spans="1:6" s="124" customFormat="1" ht="12.75" outlineLevel="1">
      <c r="A19" s="122" t="s">
        <v>74</v>
      </c>
      <c r="B19" s="123">
        <f>Proyecciones!D112+Proyecciones!D115+Proyecciones!D122+Proyecciones!D129+Proyecciones!D136+Proyecciones!D143+Proyecciones!D150+Proyecciones!D157+Terrenos!C10+Construcciones!C10+Maquinaria!C10+Muebles!C10+Transporte!C10+Oficina!C10+Semovientes!C10+Permanentes!C10+Anticipados!D11</f>
        <v>450000</v>
      </c>
      <c r="C19" s="123">
        <f>Proyecciones!E112+Proyecciones!E115+Proyecciones!E122+Proyecciones!E129+Proyecciones!E136+Proyecciones!E143+Proyecciones!E150+Proyecciones!E157+Terrenos!D10+Construcciones!D10+Maquinaria!D10+Muebles!D10+Transporte!D10+Oficina!D10+Semovientes!D10+Permanentes!D10+Anticipados!E11</f>
        <v>418000</v>
      </c>
      <c r="D19" s="123">
        <f>Proyecciones!F112+Proyecciones!F115+Proyecciones!F122+Proyecciones!F129+Proyecciones!F136+Proyecciones!F143+Proyecciones!F150+Proyecciones!F157+Terrenos!E10+Construcciones!E10+Maquinaria!E10+Muebles!E10+Transporte!E10+Oficina!E10+Semovientes!E10+Permanentes!E10+Anticipados!F11</f>
        <v>434720</v>
      </c>
      <c r="E19" s="123">
        <f>Proyecciones!G112+Proyecciones!G115+Proyecciones!G122+Proyecciones!G129+Proyecciones!G136+Proyecciones!G143+Proyecciones!G150+Proyecciones!G157+Terrenos!F10+Construcciones!F10+Maquinaria!F10+Muebles!F10+Transporte!F10+Oficina!F10+Semovientes!F10+Permanentes!F10+Anticipados!G11</f>
        <v>452108.8</v>
      </c>
      <c r="F19" s="123">
        <f>Proyecciones!H112+Proyecciones!H115+Proyecciones!H122+Proyecciones!H129+Proyecciones!H136+Proyecciones!H143+Proyecciones!H150+Proyecciones!H157+Terrenos!G10+Construcciones!G10+Maquinaria!G10+Muebles!G10+Transporte!G10+Oficina!G10+Semovientes!G10+Permanentes!G10+Anticipados!H11</f>
        <v>470193.15200000006</v>
      </c>
    </row>
    <row r="20" spans="1:6" s="124" customFormat="1" ht="12.75" outlineLevel="1">
      <c r="A20" s="122" t="s">
        <v>75</v>
      </c>
      <c r="B20" s="123">
        <f>-Proyecciones!D117-Proyecciones!D124-Proyecciones!D131-Proyecciones!D138-Proyecciones!D145-Construcciones!C31-Maquinaria!C31-Muebles!C31-Transporte!C31-Oficina!C31</f>
        <v>0</v>
      </c>
      <c r="C20" s="123">
        <f>-Proyecciones!E117-Proyecciones!E124-Proyecciones!E131-Proyecciones!E138-Proyecciones!E145-Construcciones!D31-Maquinaria!D31-Muebles!D31-Transporte!D31-Oficina!D31</f>
        <v>-20900</v>
      </c>
      <c r="D20" s="123">
        <f>-Proyecciones!F117-Proyecciones!F124-Proyecciones!F131-Proyecciones!F138-Proyecciones!F145-Construcciones!E31-Maquinaria!E31-Muebles!E31-Transporte!E31-Oficina!E31</f>
        <v>-43472</v>
      </c>
      <c r="E20" s="123">
        <f>-Proyecciones!G117-Proyecciones!G124-Proyecciones!G131-Proyecciones!G138-Proyecciones!G145-Construcciones!F31-Maquinaria!F31-Muebles!F31-Transporte!F31-Oficina!F31</f>
        <v>-67816.32</v>
      </c>
      <c r="F20" s="123">
        <f>-Proyecciones!H117-Proyecciones!H124-Proyecciones!H131-Proyecciones!H138-Proyecciones!H145-Construcciones!G31-Maquinaria!G31-Muebles!G31-Transporte!G31-Oficina!G31</f>
        <v>-94038.6304</v>
      </c>
    </row>
    <row r="21" spans="1:6" s="124" customFormat="1" ht="12.75" outlineLevel="1">
      <c r="A21" s="122" t="s">
        <v>203</v>
      </c>
      <c r="B21" s="123">
        <f>-Anticipados!D35</f>
        <v>0</v>
      </c>
      <c r="C21" s="123">
        <f>-Anticipados!E35</f>
        <v>0</v>
      </c>
      <c r="D21" s="123">
        <f>-Anticipados!F35</f>
        <v>0</v>
      </c>
      <c r="E21" s="123">
        <f>-Anticipados!G35</f>
        <v>0</v>
      </c>
      <c r="F21" s="123">
        <f>-Anticipados!H35</f>
        <v>0</v>
      </c>
    </row>
    <row r="22" spans="1:6" s="124" customFormat="1" ht="12.75" outlineLevel="1">
      <c r="A22" s="122" t="s">
        <v>242</v>
      </c>
      <c r="B22" s="123">
        <f>-Proyecciones!D152-Proyecciones!D159-Semovientes!C31-Permanentes!C31</f>
        <v>0</v>
      </c>
      <c r="C22" s="123">
        <f>-Proyecciones!E152-Proyecciones!E159-Semovientes!D31-Permanentes!D31</f>
        <v>0</v>
      </c>
      <c r="D22" s="123">
        <f>-Proyecciones!F152-Proyecciones!F159-Semovientes!E31-Permanentes!E31</f>
        <v>0</v>
      </c>
      <c r="E22" s="123">
        <f>-Proyecciones!G152-Proyecciones!G159-Semovientes!F31-Permanentes!F31</f>
        <v>0</v>
      </c>
      <c r="F22" s="123">
        <f>-Proyecciones!H152-Proyecciones!H159-Semovientes!G31-Permanentes!G31</f>
        <v>0</v>
      </c>
    </row>
    <row r="23" spans="1:6" ht="12.75">
      <c r="A23" s="135" t="s">
        <v>76</v>
      </c>
      <c r="B23" s="54">
        <f>B18+B19+B20+B21+B22</f>
        <v>450000</v>
      </c>
      <c r="C23" s="54">
        <f>C18+C19+C20+C21+C22</f>
        <v>397100</v>
      </c>
      <c r="D23" s="54">
        <f>D18+D19+D20+D21+D22</f>
        <v>-70387.33136757725</v>
      </c>
      <c r="E23" s="54">
        <f>E18+E19+E20+E21+E22</f>
        <v>-31725.129031198332</v>
      </c>
      <c r="F23" s="54">
        <f>F18+F19+F20+F21+F22</f>
        <v>-1207382.6517813078</v>
      </c>
    </row>
    <row r="24" spans="1:6" s="129" customFormat="1" ht="12.75">
      <c r="A24" s="133" t="s">
        <v>77</v>
      </c>
      <c r="B24" s="128">
        <f>B14+B17+B23</f>
        <v>11897817.81875199</v>
      </c>
      <c r="C24" s="128">
        <f>C14+C17+C23</f>
        <v>-1119669.468497932</v>
      </c>
      <c r="D24" s="128">
        <f>D14+D17+D23</f>
        <v>30090710.421394575</v>
      </c>
      <c r="E24" s="128">
        <f>E14+E17+E23</f>
        <v>64348870.0618414</v>
      </c>
      <c r="F24" s="128">
        <f>F14+F17+F23</f>
        <v>109909373.20499828</v>
      </c>
    </row>
    <row r="25" spans="1:6" ht="12.75">
      <c r="A25" s="136" t="s">
        <v>25</v>
      </c>
      <c r="B25" s="54">
        <f>Proyecciones!D182</f>
        <v>356934.5345625597</v>
      </c>
      <c r="C25" s="54">
        <f>Proyecciones!E182</f>
        <v>20773.589911540974</v>
      </c>
      <c r="D25" s="54">
        <f>Proyecciones!F182</f>
        <v>902721.3126418373</v>
      </c>
      <c r="E25" s="54">
        <f>Proyecciones!G182</f>
        <v>1930466.101855242</v>
      </c>
      <c r="F25" s="54">
        <f>Proyecciones!H182</f>
        <v>3297281.1961499485</v>
      </c>
    </row>
    <row r="26" spans="1:6" s="129" customFormat="1" ht="12.75">
      <c r="A26" s="137" t="s">
        <v>78</v>
      </c>
      <c r="B26" s="128">
        <f>B24-B25</f>
        <v>11540883.284189431</v>
      </c>
      <c r="C26" s="128">
        <f>C24-C25</f>
        <v>-1140443.058409473</v>
      </c>
      <c r="D26" s="128">
        <f>D24-D25</f>
        <v>29187989.10875274</v>
      </c>
      <c r="E26" s="128">
        <f>E24-E25</f>
        <v>62418403.95998616</v>
      </c>
      <c r="F26" s="128">
        <f>F24-F25</f>
        <v>106612092.00884834</v>
      </c>
    </row>
    <row r="27" spans="2:6" ht="12.75">
      <c r="B27" s="138"/>
      <c r="C27" s="110"/>
      <c r="D27" s="110"/>
      <c r="E27" s="110"/>
      <c r="F27" s="110"/>
    </row>
    <row r="28" spans="1:6" ht="12.75">
      <c r="A28" s="139"/>
      <c r="B28" s="140"/>
      <c r="C28" s="140"/>
      <c r="D28" s="140"/>
      <c r="E28" s="140"/>
      <c r="F28" s="140"/>
    </row>
    <row r="29" spans="1:6" ht="12.75">
      <c r="A29" s="139"/>
      <c r="B29" s="141"/>
      <c r="C29" s="141"/>
      <c r="D29" s="141"/>
      <c r="E29" s="141"/>
      <c r="F29" s="141"/>
    </row>
    <row r="30" spans="1:6" ht="12.75">
      <c r="A30" s="139"/>
      <c r="B30" s="140"/>
      <c r="C30" s="140"/>
      <c r="D30" s="140"/>
      <c r="E30" s="140"/>
      <c r="F30" s="140"/>
    </row>
  </sheetData>
  <sheetProtection/>
  <printOptions horizontalCentered="1" verticalCentered="1"/>
  <pageMargins left="0.1968503937007874" right="0.1968503937007874" top="0.984251968503937" bottom="0.3937007874015748" header="0.5905511811023623" footer="0.5118110236220472"/>
  <pageSetup fitToHeight="1" fitToWidth="1" horizontalDpi="300" verticalDpi="300" orientation="landscape" r:id="rId1"/>
  <headerFooter alignWithMargins="0">
    <oddHeader>&amp;C&amp;"Arial,Negrita"&amp;14MODELAJE FINANCIERO
&amp;12ESTADO DE RESULTADOS ANUAL&amp;"Arial,Normal"&amp;10
</oddHeader>
    <oddFooter>&amp;L&amp;"Arial,Negrita"&amp;8&amp;F&amp;C&amp;"Arial,Negrita"&amp;8Página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6"/>
    <pageSetUpPr fitToPage="1"/>
  </sheetPr>
  <dimension ref="A1:G59"/>
  <sheetViews>
    <sheetView showGridLines="0" zoomScalePageLayoutView="0" workbookViewId="0" topLeftCell="A2">
      <pane xSplit="1" ySplit="1" topLeftCell="B2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63" sqref="C63"/>
    </sheetView>
  </sheetViews>
  <sheetFormatPr defaultColWidth="11.421875" defaultRowHeight="12.75" outlineLevelRow="1"/>
  <cols>
    <col min="1" max="1" width="38.421875" style="45" bestFit="1" customWidth="1"/>
    <col min="2" max="2" width="18.7109375" style="115" customWidth="1"/>
    <col min="3" max="4" width="18.7109375" style="116" customWidth="1"/>
    <col min="5" max="7" width="19.57421875" style="116" customWidth="1"/>
    <col min="8" max="16384" width="11.421875" style="28" customWidth="1"/>
  </cols>
  <sheetData>
    <row r="1" spans="2:7" ht="12.75" hidden="1" outlineLevel="1">
      <c r="B1" s="142">
        <v>0</v>
      </c>
      <c r="C1" s="142">
        <v>1</v>
      </c>
      <c r="D1" s="142">
        <v>2</v>
      </c>
      <c r="E1" s="142">
        <v>3</v>
      </c>
      <c r="F1" s="142">
        <v>4</v>
      </c>
      <c r="G1" s="142">
        <v>5</v>
      </c>
    </row>
    <row r="2" spans="2:7" ht="13.5" collapsed="1" thickBot="1">
      <c r="B2" s="30">
        <v>2019</v>
      </c>
      <c r="C2" s="30">
        <v>2020</v>
      </c>
      <c r="D2" s="30">
        <v>2021</v>
      </c>
      <c r="E2" s="30">
        <v>2022</v>
      </c>
      <c r="F2" s="30">
        <v>2023</v>
      </c>
      <c r="G2" s="30">
        <v>2024</v>
      </c>
    </row>
    <row r="3" spans="1:7" ht="14.25" thickBot="1" thickTop="1">
      <c r="A3" s="154" t="s">
        <v>47</v>
      </c>
      <c r="B3" s="28"/>
      <c r="C3" s="28"/>
      <c r="D3" s="28"/>
      <c r="E3" s="28"/>
      <c r="F3" s="28"/>
      <c r="G3" s="28"/>
    </row>
    <row r="4" ht="13.5" thickTop="1">
      <c r="A4" s="114" t="s">
        <v>48</v>
      </c>
    </row>
    <row r="5" spans="1:7" ht="12.75">
      <c r="A5" s="143" t="s">
        <v>49</v>
      </c>
      <c r="B5" s="56">
        <f>B56-B6-B8-B9-B10-B11-B14-B16-B19-B22-B25-B28-B31-B34-B37-B39</f>
        <v>40000000</v>
      </c>
      <c r="C5" s="54">
        <f>'Flujo de Caja'!B43</f>
        <v>51447817.81875199</v>
      </c>
      <c r="D5" s="54">
        <f>'Flujo de Caja'!C43</f>
        <v>49574113.8156915</v>
      </c>
      <c r="E5" s="54">
        <f>'Flujo de Caja'!D43</f>
        <v>79714437.97854212</v>
      </c>
      <c r="F5" s="54">
        <f>'Flujo de Caja'!E43</f>
        <v>143192311.85677287</v>
      </c>
      <c r="G5" s="54">
        <f>'Flujo de Caja'!F43</f>
        <v>252378601.6116972</v>
      </c>
    </row>
    <row r="6" spans="1:7" ht="12.75">
      <c r="A6" s="143" t="s">
        <v>50</v>
      </c>
      <c r="B6" s="144">
        <f>Proyecciones!C79</f>
        <v>0</v>
      </c>
      <c r="C6" s="54">
        <f>Proyecciones!D79</f>
        <v>0</v>
      </c>
      <c r="D6" s="54">
        <f>Proyecciones!E79</f>
        <v>0</v>
      </c>
      <c r="E6" s="54">
        <f>Proyecciones!F79</f>
        <v>0</v>
      </c>
      <c r="F6" s="54">
        <f>Proyecciones!G79</f>
        <v>0</v>
      </c>
      <c r="G6" s="54">
        <f>Proyecciones!H79</f>
        <v>0</v>
      </c>
    </row>
    <row r="7" spans="1:7" ht="12.75">
      <c r="A7" s="122" t="s">
        <v>142</v>
      </c>
      <c r="B7" s="54"/>
      <c r="C7" s="54">
        <f>-Proyecciones!D82</f>
        <v>0</v>
      </c>
      <c r="D7" s="54">
        <f>-Proyecciones!E82</f>
        <v>0</v>
      </c>
      <c r="E7" s="54">
        <f>-Proyecciones!F82</f>
        <v>0</v>
      </c>
      <c r="F7" s="54">
        <f>-Proyecciones!G82</f>
        <v>0</v>
      </c>
      <c r="G7" s="54">
        <f>-Proyecciones!H82</f>
        <v>0</v>
      </c>
    </row>
    <row r="8" spans="1:7" s="45" customFormat="1" ht="12.75">
      <c r="A8" s="117" t="s">
        <v>146</v>
      </c>
      <c r="B8" s="144">
        <f>Proyecciones!C92</f>
        <v>0</v>
      </c>
      <c r="C8" s="54">
        <f>Proyecciones!D92</f>
        <v>0</v>
      </c>
      <c r="D8" s="54">
        <f>Proyecciones!E92</f>
        <v>0</v>
      </c>
      <c r="E8" s="54">
        <f>Proyecciones!F92</f>
        <v>0</v>
      </c>
      <c r="F8" s="54">
        <f>Proyecciones!G92</f>
        <v>0</v>
      </c>
      <c r="G8" s="54">
        <f>Proyecciones!H92</f>
        <v>0</v>
      </c>
    </row>
    <row r="9" spans="1:7" s="45" customFormat="1" ht="12.75">
      <c r="A9" s="117" t="s">
        <v>149</v>
      </c>
      <c r="B9" s="144">
        <f>Proyecciones!C89</f>
        <v>0</v>
      </c>
      <c r="C9" s="54">
        <f>Proyecciones!D89</f>
        <v>0</v>
      </c>
      <c r="D9" s="54">
        <f>Proyecciones!E89</f>
        <v>0</v>
      </c>
      <c r="E9" s="54">
        <f>Proyecciones!F89</f>
        <v>0</v>
      </c>
      <c r="F9" s="54">
        <f>Proyecciones!G89</f>
        <v>0</v>
      </c>
      <c r="G9" s="54">
        <f>Proyecciones!H89</f>
        <v>0</v>
      </c>
    </row>
    <row r="10" spans="1:7" s="45" customFormat="1" ht="12.75">
      <c r="A10" s="117" t="s">
        <v>147</v>
      </c>
      <c r="B10" s="144">
        <f>Proyecciones!C86</f>
        <v>0</v>
      </c>
      <c r="C10" s="54">
        <f>Proyecciones!D86</f>
        <v>0</v>
      </c>
      <c r="D10" s="54">
        <f>Proyecciones!E86</f>
        <v>0</v>
      </c>
      <c r="E10" s="54">
        <f>Proyecciones!F86</f>
        <v>0</v>
      </c>
      <c r="F10" s="54">
        <f>Proyecciones!G86</f>
        <v>0</v>
      </c>
      <c r="G10" s="54">
        <f>Proyecciones!H86</f>
        <v>0</v>
      </c>
    </row>
    <row r="11" spans="1:7" s="45" customFormat="1" ht="12.75">
      <c r="A11" s="117" t="s">
        <v>233</v>
      </c>
      <c r="B11" s="144">
        <f>Proyecciones!C96</f>
        <v>0</v>
      </c>
      <c r="C11" s="144">
        <f>Proyecciones!D96</f>
        <v>0</v>
      </c>
      <c r="D11" s="144">
        <f>Proyecciones!E96</f>
        <v>0</v>
      </c>
      <c r="E11" s="144">
        <f>Proyecciones!F96</f>
        <v>0</v>
      </c>
      <c r="F11" s="144">
        <f>Proyecciones!G96</f>
        <v>0</v>
      </c>
      <c r="G11" s="144">
        <f>Proyecciones!H96</f>
        <v>0</v>
      </c>
    </row>
    <row r="12" spans="1:7" s="45" customFormat="1" ht="12.75" outlineLevel="1">
      <c r="A12" s="122" t="s">
        <v>237</v>
      </c>
      <c r="B12" s="144">
        <f>Anticipados!C19</f>
        <v>0</v>
      </c>
      <c r="C12" s="144">
        <f>Anticipados!D19</f>
        <v>0</v>
      </c>
      <c r="D12" s="144">
        <f>Anticipados!E19</f>
        <v>0</v>
      </c>
      <c r="E12" s="144">
        <f>Anticipados!F19</f>
        <v>0</v>
      </c>
      <c r="F12" s="144">
        <f>Anticipados!G19</f>
        <v>0</v>
      </c>
      <c r="G12" s="144">
        <f>Anticipados!H19</f>
        <v>0</v>
      </c>
    </row>
    <row r="13" spans="1:7" s="45" customFormat="1" ht="12.75" outlineLevel="1">
      <c r="A13" s="122" t="s">
        <v>205</v>
      </c>
      <c r="B13" s="144">
        <f>-Anticipados!C43</f>
        <v>0</v>
      </c>
      <c r="C13" s="144">
        <f>-Anticipados!D43</f>
        <v>0</v>
      </c>
      <c r="D13" s="144">
        <f>-Anticipados!E43</f>
        <v>0</v>
      </c>
      <c r="E13" s="144">
        <f>-Anticipados!F43</f>
        <v>0</v>
      </c>
      <c r="F13" s="144">
        <f>-Anticipados!G43</f>
        <v>0</v>
      </c>
      <c r="G13" s="144">
        <f>-Anticipados!H43</f>
        <v>0</v>
      </c>
    </row>
    <row r="14" spans="1:7" s="45" customFormat="1" ht="12.75">
      <c r="A14" s="117" t="s">
        <v>240</v>
      </c>
      <c r="B14" s="144">
        <f aca="true" t="shared" si="0" ref="B14:G14">B12+B13</f>
        <v>0</v>
      </c>
      <c r="C14" s="144">
        <f t="shared" si="0"/>
        <v>0</v>
      </c>
      <c r="D14" s="144">
        <f t="shared" si="0"/>
        <v>0</v>
      </c>
      <c r="E14" s="144">
        <f t="shared" si="0"/>
        <v>0</v>
      </c>
      <c r="F14" s="144">
        <f t="shared" si="0"/>
        <v>0</v>
      </c>
      <c r="G14" s="144">
        <f t="shared" si="0"/>
        <v>0</v>
      </c>
    </row>
    <row r="15" spans="1:7" s="146" customFormat="1" ht="13.5" customHeight="1">
      <c r="A15" s="127" t="s">
        <v>51</v>
      </c>
      <c r="B15" s="145">
        <f aca="true" t="shared" si="1" ref="B15:G15">SUM(B5:B11)+B14</f>
        <v>40000000</v>
      </c>
      <c r="C15" s="145">
        <f t="shared" si="1"/>
        <v>51447817.81875199</v>
      </c>
      <c r="D15" s="145">
        <f t="shared" si="1"/>
        <v>49574113.8156915</v>
      </c>
      <c r="E15" s="145">
        <f t="shared" si="1"/>
        <v>79714437.97854212</v>
      </c>
      <c r="F15" s="145">
        <f t="shared" si="1"/>
        <v>143192311.85677287</v>
      </c>
      <c r="G15" s="145">
        <f t="shared" si="1"/>
        <v>252378601.6116972</v>
      </c>
    </row>
    <row r="16" spans="1:7" ht="12.75">
      <c r="A16" s="117" t="s">
        <v>128</v>
      </c>
      <c r="B16" s="144">
        <f>Proyecciones!C111</f>
        <v>0</v>
      </c>
      <c r="C16" s="54">
        <f>Proyecciones!D111+Terrenos!C17</f>
        <v>0</v>
      </c>
      <c r="D16" s="54">
        <f>Proyecciones!E111+Terrenos!D17</f>
        <v>0</v>
      </c>
      <c r="E16" s="54">
        <f>Proyecciones!F111+Terrenos!E17</f>
        <v>0</v>
      </c>
      <c r="F16" s="54">
        <f>Proyecciones!G111+Terrenos!F17</f>
        <v>0</v>
      </c>
      <c r="G16" s="54">
        <f>Proyecciones!H111+Terrenos!G17</f>
        <v>0</v>
      </c>
    </row>
    <row r="17" spans="1:7" ht="12.75" outlineLevel="1">
      <c r="A17" s="122" t="s">
        <v>130</v>
      </c>
      <c r="B17" s="144">
        <f>Proyecciones!C114</f>
        <v>10000000</v>
      </c>
      <c r="C17" s="54">
        <f>Proyecciones!D114+Construcciones!C17</f>
        <v>10450000</v>
      </c>
      <c r="D17" s="54">
        <f>Proyecciones!E114+Construcciones!D17</f>
        <v>10868000</v>
      </c>
      <c r="E17" s="54">
        <f>Proyecciones!F114+Construcciones!E17</f>
        <v>11302720</v>
      </c>
      <c r="F17" s="54">
        <f>Proyecciones!G114+Construcciones!F17</f>
        <v>11754828.8</v>
      </c>
      <c r="G17" s="54">
        <f>Proyecciones!H114+Construcciones!G17</f>
        <v>12225021.952000001</v>
      </c>
    </row>
    <row r="18" spans="1:7" ht="12.75" outlineLevel="1">
      <c r="A18" s="122" t="s">
        <v>52</v>
      </c>
      <c r="B18" s="144"/>
      <c r="C18" s="54">
        <f>-Proyecciones!D118-Construcciones!C38</f>
        <v>-522500</v>
      </c>
      <c r="D18" s="54">
        <f>-Proyecciones!E118-Construcciones!D38</f>
        <v>-1086800</v>
      </c>
      <c r="E18" s="54">
        <f>-Proyecciones!F118-Construcciones!E38</f>
        <v>-1695408</v>
      </c>
      <c r="F18" s="54">
        <f>-Proyecciones!G118-Construcciones!F38</f>
        <v>-2350965.76</v>
      </c>
      <c r="G18" s="54">
        <f>-Proyecciones!H118-Construcciones!G38</f>
        <v>-3056255.488</v>
      </c>
    </row>
    <row r="19" spans="1:7" ht="12.75">
      <c r="A19" s="117" t="s">
        <v>132</v>
      </c>
      <c r="B19" s="147">
        <f aca="true" t="shared" si="2" ref="B19:G19">B17+B18</f>
        <v>10000000</v>
      </c>
      <c r="C19" s="147">
        <f t="shared" si="2"/>
        <v>9927500</v>
      </c>
      <c r="D19" s="147">
        <f t="shared" si="2"/>
        <v>9781200</v>
      </c>
      <c r="E19" s="147">
        <f t="shared" si="2"/>
        <v>9607312</v>
      </c>
      <c r="F19" s="147">
        <f t="shared" si="2"/>
        <v>9403863.040000001</v>
      </c>
      <c r="G19" s="147">
        <f t="shared" si="2"/>
        <v>9168766.464000002</v>
      </c>
    </row>
    <row r="20" spans="1:7" ht="12.75" outlineLevel="1">
      <c r="A20" s="122" t="s">
        <v>131</v>
      </c>
      <c r="B20" s="144">
        <f>Proyecciones!C121</f>
        <v>0</v>
      </c>
      <c r="C20" s="54">
        <f>Proyecciones!D121+Maquinaria!C17</f>
        <v>0</v>
      </c>
      <c r="D20" s="54">
        <f>Proyecciones!E121+Maquinaria!D17</f>
        <v>0</v>
      </c>
      <c r="E20" s="54">
        <f>Proyecciones!F121+Maquinaria!E17</f>
        <v>0</v>
      </c>
      <c r="F20" s="54">
        <f>Proyecciones!G121+Maquinaria!F17</f>
        <v>0</v>
      </c>
      <c r="G20" s="54">
        <f>Proyecciones!H121+Maquinaria!G17</f>
        <v>0</v>
      </c>
    </row>
    <row r="21" spans="1:7" ht="12.75" outlineLevel="1">
      <c r="A21" s="122" t="s">
        <v>201</v>
      </c>
      <c r="B21" s="144"/>
      <c r="C21" s="54">
        <f>-Proyecciones!D125-Maquinaria!C38</f>
        <v>0</v>
      </c>
      <c r="D21" s="54">
        <f>-Proyecciones!E125-Maquinaria!D38</f>
        <v>0</v>
      </c>
      <c r="E21" s="54">
        <f>-Proyecciones!F125-Maquinaria!E38</f>
        <v>0</v>
      </c>
      <c r="F21" s="54">
        <f>-Proyecciones!G125-Maquinaria!F38</f>
        <v>0</v>
      </c>
      <c r="G21" s="54">
        <f>-Proyecciones!H125-Maquinaria!G38</f>
        <v>0</v>
      </c>
    </row>
    <row r="22" spans="1:7" ht="12.75">
      <c r="A22" s="117" t="s">
        <v>133</v>
      </c>
      <c r="B22" s="147">
        <f>B20-B21</f>
        <v>0</v>
      </c>
      <c r="C22" s="147">
        <f>C20+C21</f>
        <v>0</v>
      </c>
      <c r="D22" s="147">
        <f>D20+D21</f>
        <v>0</v>
      </c>
      <c r="E22" s="147">
        <f>E20+E21</f>
        <v>0</v>
      </c>
      <c r="F22" s="147">
        <f>F20+F21</f>
        <v>0</v>
      </c>
      <c r="G22" s="147">
        <f>G20+G21</f>
        <v>0</v>
      </c>
    </row>
    <row r="23" spans="1:7" ht="12.75" outlineLevel="1">
      <c r="A23" s="122" t="s">
        <v>137</v>
      </c>
      <c r="B23" s="144">
        <f>Proyecciones!C128</f>
        <v>0</v>
      </c>
      <c r="C23" s="54">
        <f>Proyecciones!D128+Muebles!C17</f>
        <v>0</v>
      </c>
      <c r="D23" s="54">
        <f>Proyecciones!E128+Muebles!D17</f>
        <v>0</v>
      </c>
      <c r="E23" s="54">
        <f>Proyecciones!F128+Muebles!E17</f>
        <v>0</v>
      </c>
      <c r="F23" s="54">
        <f>Proyecciones!G128+Muebles!F17</f>
        <v>0</v>
      </c>
      <c r="G23" s="54">
        <f>Proyecciones!H128+Muebles!G17</f>
        <v>0</v>
      </c>
    </row>
    <row r="24" spans="1:7" ht="12.75" outlineLevel="1">
      <c r="A24" s="122" t="s">
        <v>201</v>
      </c>
      <c r="B24" s="144"/>
      <c r="C24" s="54">
        <f>-Proyecciones!D132-Muebles!C38</f>
        <v>0</v>
      </c>
      <c r="D24" s="54">
        <f>-Proyecciones!E132-Muebles!D38</f>
        <v>0</v>
      </c>
      <c r="E24" s="54">
        <f>-Proyecciones!F132-Muebles!E38</f>
        <v>0</v>
      </c>
      <c r="F24" s="54">
        <f>-Proyecciones!G132-Muebles!F38</f>
        <v>0</v>
      </c>
      <c r="G24" s="54">
        <f>-Proyecciones!H132-Muebles!G38</f>
        <v>0</v>
      </c>
    </row>
    <row r="25" spans="1:7" ht="12.75">
      <c r="A25" s="117" t="s">
        <v>139</v>
      </c>
      <c r="B25" s="147">
        <f>B23-B24</f>
        <v>0</v>
      </c>
      <c r="C25" s="147">
        <f>C23+C24</f>
        <v>0</v>
      </c>
      <c r="D25" s="147">
        <f>D23+D24</f>
        <v>0</v>
      </c>
      <c r="E25" s="147">
        <f>E23+E24</f>
        <v>0</v>
      </c>
      <c r="F25" s="147">
        <f>F23+F24</f>
        <v>0</v>
      </c>
      <c r="G25" s="147">
        <f>G23+G24</f>
        <v>0</v>
      </c>
    </row>
    <row r="26" spans="1:7" ht="12.75" outlineLevel="1">
      <c r="A26" s="122" t="s">
        <v>134</v>
      </c>
      <c r="B26" s="144">
        <f>Proyecciones!C135</f>
        <v>0</v>
      </c>
      <c r="C26" s="54">
        <f>Proyecciones!D135+Transporte!C17</f>
        <v>0</v>
      </c>
      <c r="D26" s="54">
        <f>Proyecciones!E135+Transporte!D17</f>
        <v>0</v>
      </c>
      <c r="E26" s="54">
        <f>Proyecciones!F135+Transporte!E17</f>
        <v>0</v>
      </c>
      <c r="F26" s="54">
        <f>Proyecciones!G135+Transporte!F17</f>
        <v>0</v>
      </c>
      <c r="G26" s="54">
        <f>Proyecciones!H135+Transporte!G17</f>
        <v>0</v>
      </c>
    </row>
    <row r="27" spans="1:7" ht="12.75" outlineLevel="1">
      <c r="A27" s="122" t="s">
        <v>201</v>
      </c>
      <c r="B27" s="144"/>
      <c r="C27" s="54">
        <f>-Proyecciones!D139-Transporte!C38</f>
        <v>0</v>
      </c>
      <c r="D27" s="54">
        <f>-Proyecciones!E139-Transporte!D38</f>
        <v>0</v>
      </c>
      <c r="E27" s="54">
        <f>-Proyecciones!F139-Transporte!E38</f>
        <v>0</v>
      </c>
      <c r="F27" s="54">
        <f>-Proyecciones!G139-Transporte!F38</f>
        <v>0</v>
      </c>
      <c r="G27" s="54">
        <f>-Proyecciones!H139-Transporte!G38</f>
        <v>0</v>
      </c>
    </row>
    <row r="28" spans="1:7" ht="12.75">
      <c r="A28" s="117" t="s">
        <v>138</v>
      </c>
      <c r="B28" s="147">
        <f>B26-B27</f>
        <v>0</v>
      </c>
      <c r="C28" s="147">
        <f>C26+C27</f>
        <v>0</v>
      </c>
      <c r="D28" s="147">
        <f>D26+D27</f>
        <v>0</v>
      </c>
      <c r="E28" s="147">
        <f>E26+E27</f>
        <v>0</v>
      </c>
      <c r="F28" s="147">
        <f>F26+F27</f>
        <v>0</v>
      </c>
      <c r="G28" s="147">
        <f>G26+G27</f>
        <v>0</v>
      </c>
    </row>
    <row r="29" spans="1:7" ht="12.75" outlineLevel="1">
      <c r="A29" s="122" t="s">
        <v>141</v>
      </c>
      <c r="B29" s="144">
        <f>Proyecciones!C142</f>
        <v>0</v>
      </c>
      <c r="C29" s="54">
        <f>Proyecciones!D142+Oficina!C17</f>
        <v>0</v>
      </c>
      <c r="D29" s="54">
        <f>Proyecciones!E142+Oficina!D17</f>
        <v>0</v>
      </c>
      <c r="E29" s="54">
        <f>Proyecciones!F142+Oficina!E17</f>
        <v>0</v>
      </c>
      <c r="F29" s="54">
        <f>Proyecciones!G142+Oficina!F17</f>
        <v>0</v>
      </c>
      <c r="G29" s="54">
        <f>Proyecciones!H142+Oficina!G17</f>
        <v>0</v>
      </c>
    </row>
    <row r="30" spans="1:7" ht="12.75" outlineLevel="1">
      <c r="A30" s="122" t="s">
        <v>201</v>
      </c>
      <c r="B30" s="144"/>
      <c r="C30" s="54">
        <f>-Proyecciones!D146-Oficina!C38</f>
        <v>0</v>
      </c>
      <c r="D30" s="54">
        <f>-Proyecciones!E146-Oficina!D38</f>
        <v>0</v>
      </c>
      <c r="E30" s="54">
        <f>-Proyecciones!F146-Oficina!E38</f>
        <v>0</v>
      </c>
      <c r="F30" s="54">
        <f>-Proyecciones!G146-Oficina!F38</f>
        <v>0</v>
      </c>
      <c r="G30" s="54">
        <f>-Proyecciones!H146-Oficina!G38</f>
        <v>0</v>
      </c>
    </row>
    <row r="31" spans="1:7" ht="12.75">
      <c r="A31" s="117" t="s">
        <v>148</v>
      </c>
      <c r="B31" s="147">
        <f>B29-B30</f>
        <v>0</v>
      </c>
      <c r="C31" s="147">
        <f>C29+C30</f>
        <v>0</v>
      </c>
      <c r="D31" s="147">
        <f>D29+D30</f>
        <v>0</v>
      </c>
      <c r="E31" s="147">
        <f>E29+E30</f>
        <v>0</v>
      </c>
      <c r="F31" s="147">
        <f>F29+F30</f>
        <v>0</v>
      </c>
      <c r="G31" s="147">
        <f>G29+G30</f>
        <v>0</v>
      </c>
    </row>
    <row r="32" spans="1:7" ht="12.75" hidden="1" outlineLevel="1">
      <c r="A32" s="122" t="s">
        <v>152</v>
      </c>
      <c r="B32" s="144">
        <f>Proyecciones!C149</f>
        <v>0</v>
      </c>
      <c r="C32" s="144">
        <f>Proyecciones!D149+Semovientes!C17</f>
        <v>0</v>
      </c>
      <c r="D32" s="144">
        <f>Proyecciones!E149+Semovientes!D17</f>
        <v>0</v>
      </c>
      <c r="E32" s="144">
        <f>Proyecciones!F149+Semovientes!E17</f>
        <v>0</v>
      </c>
      <c r="F32" s="144">
        <f>Proyecciones!G149+Semovientes!F17</f>
        <v>0</v>
      </c>
      <c r="G32" s="144">
        <f>Proyecciones!H149+Semovientes!G17</f>
        <v>0</v>
      </c>
    </row>
    <row r="33" spans="1:7" ht="12.75" hidden="1" outlineLevel="1">
      <c r="A33" s="122" t="s">
        <v>217</v>
      </c>
      <c r="B33" s="144"/>
      <c r="C33" s="54">
        <f>-Proyecciones!D153-Semovientes!C38</f>
        <v>0</v>
      </c>
      <c r="D33" s="54">
        <f>-Proyecciones!E153-Semovientes!D38</f>
        <v>0</v>
      </c>
      <c r="E33" s="54">
        <f>-Proyecciones!F153-Semovientes!E38</f>
        <v>0</v>
      </c>
      <c r="F33" s="54">
        <f>-Proyecciones!G153-Semovientes!F38</f>
        <v>0</v>
      </c>
      <c r="G33" s="54">
        <f>-Proyecciones!H153-Semovientes!G38</f>
        <v>0</v>
      </c>
    </row>
    <row r="34" spans="1:7" ht="12.75" hidden="1" collapsed="1">
      <c r="A34" s="117" t="s">
        <v>152</v>
      </c>
      <c r="B34" s="147">
        <f aca="true" t="shared" si="3" ref="B34:G34">B32+B33</f>
        <v>0</v>
      </c>
      <c r="C34" s="147">
        <f t="shared" si="3"/>
        <v>0</v>
      </c>
      <c r="D34" s="147">
        <f t="shared" si="3"/>
        <v>0</v>
      </c>
      <c r="E34" s="147">
        <f t="shared" si="3"/>
        <v>0</v>
      </c>
      <c r="F34" s="147">
        <f t="shared" si="3"/>
        <v>0</v>
      </c>
      <c r="G34" s="147">
        <f t="shared" si="3"/>
        <v>0</v>
      </c>
    </row>
    <row r="35" spans="1:7" ht="12.75" hidden="1" outlineLevel="1">
      <c r="A35" s="122" t="s">
        <v>154</v>
      </c>
      <c r="B35" s="144">
        <f>Proyecciones!C156</f>
        <v>0</v>
      </c>
      <c r="C35" s="144">
        <f>Proyecciones!D156+Permanentes!C17</f>
        <v>0</v>
      </c>
      <c r="D35" s="144">
        <f>Proyecciones!E156+Permanentes!D17</f>
        <v>0</v>
      </c>
      <c r="E35" s="144">
        <f>Proyecciones!F156+Permanentes!E17</f>
        <v>0</v>
      </c>
      <c r="F35" s="144">
        <f>Proyecciones!G156+Permanentes!F17</f>
        <v>0</v>
      </c>
      <c r="G35" s="144">
        <f>Proyecciones!H156+Permanentes!G17</f>
        <v>0</v>
      </c>
    </row>
    <row r="36" spans="1:7" ht="12.75" hidden="1" outlineLevel="1">
      <c r="A36" s="122" t="s">
        <v>217</v>
      </c>
      <c r="B36" s="144"/>
      <c r="C36" s="54">
        <f>-Proyecciones!D160-Permanentes!C38</f>
        <v>0</v>
      </c>
      <c r="D36" s="54">
        <f>-Proyecciones!E160-Permanentes!D38</f>
        <v>0</v>
      </c>
      <c r="E36" s="54">
        <f>-Proyecciones!F160-Permanentes!E38</f>
        <v>0</v>
      </c>
      <c r="F36" s="54">
        <f>-Proyecciones!G160-Permanentes!F38</f>
        <v>0</v>
      </c>
      <c r="G36" s="54">
        <f>-Proyecciones!H160-Permanentes!G38</f>
        <v>0</v>
      </c>
    </row>
    <row r="37" spans="1:7" ht="12.75" hidden="1" collapsed="1">
      <c r="A37" s="117" t="s">
        <v>154</v>
      </c>
      <c r="B37" s="147">
        <f aca="true" t="shared" si="4" ref="B37:G37">B35+B36</f>
        <v>0</v>
      </c>
      <c r="C37" s="147">
        <f t="shared" si="4"/>
        <v>0</v>
      </c>
      <c r="D37" s="147">
        <f t="shared" si="4"/>
        <v>0</v>
      </c>
      <c r="E37" s="147">
        <f t="shared" si="4"/>
        <v>0</v>
      </c>
      <c r="F37" s="147">
        <f t="shared" si="4"/>
        <v>0</v>
      </c>
      <c r="G37" s="147">
        <f t="shared" si="4"/>
        <v>0</v>
      </c>
    </row>
    <row r="38" spans="1:7" s="146" customFormat="1" ht="12.75">
      <c r="A38" s="148" t="s">
        <v>54</v>
      </c>
      <c r="B38" s="145">
        <f aca="true" t="shared" si="5" ref="B38:G38">B16+B19+B22+B25+B28+B31+B34+B37</f>
        <v>10000000</v>
      </c>
      <c r="C38" s="145">
        <f t="shared" si="5"/>
        <v>9927500</v>
      </c>
      <c r="D38" s="145">
        <f t="shared" si="5"/>
        <v>9781200</v>
      </c>
      <c r="E38" s="145">
        <f t="shared" si="5"/>
        <v>9607312</v>
      </c>
      <c r="F38" s="145">
        <f t="shared" si="5"/>
        <v>9403863.040000001</v>
      </c>
      <c r="G38" s="145">
        <f t="shared" si="5"/>
        <v>9168766.464000002</v>
      </c>
    </row>
    <row r="39" spans="1:7" s="146" customFormat="1" ht="12.75">
      <c r="A39" s="149" t="s">
        <v>224</v>
      </c>
      <c r="B39" s="145">
        <f>Proyecciones!C173</f>
        <v>0</v>
      </c>
      <c r="C39" s="145">
        <f>Proyecciones!D173</f>
        <v>0</v>
      </c>
      <c r="D39" s="145">
        <f>Proyecciones!E173</f>
        <v>0</v>
      </c>
      <c r="E39" s="145">
        <f>Proyecciones!F173</f>
        <v>0</v>
      </c>
      <c r="F39" s="145">
        <f>Proyecciones!G173</f>
        <v>0</v>
      </c>
      <c r="G39" s="145">
        <f>Proyecciones!H173</f>
        <v>0</v>
      </c>
    </row>
    <row r="40" spans="1:7" ht="12.75">
      <c r="A40" s="127" t="s">
        <v>55</v>
      </c>
      <c r="B40" s="145">
        <f aca="true" t="shared" si="6" ref="B40:G40">B15+B38+B39</f>
        <v>50000000</v>
      </c>
      <c r="C40" s="145">
        <f t="shared" si="6"/>
        <v>61375317.81875199</v>
      </c>
      <c r="D40" s="145">
        <f t="shared" si="6"/>
        <v>59355313.8156915</v>
      </c>
      <c r="E40" s="145">
        <f t="shared" si="6"/>
        <v>89321749.97854212</v>
      </c>
      <c r="F40" s="145">
        <f t="shared" si="6"/>
        <v>152596174.89677286</v>
      </c>
      <c r="G40" s="145">
        <f t="shared" si="6"/>
        <v>261547368.07569718</v>
      </c>
    </row>
    <row r="41" spans="1:7" ht="12.75">
      <c r="A41" s="114" t="s">
        <v>156</v>
      </c>
      <c r="B41" s="121"/>
      <c r="C41" s="121"/>
      <c r="D41" s="121"/>
      <c r="E41" s="121"/>
      <c r="F41" s="121"/>
      <c r="G41" s="121"/>
    </row>
    <row r="42" spans="1:7" ht="12.75">
      <c r="A42" s="117" t="s">
        <v>225</v>
      </c>
      <c r="B42" s="144">
        <f>Proyecciones!C103</f>
        <v>0</v>
      </c>
      <c r="C42" s="54">
        <f>Proyecciones!D103</f>
        <v>0</v>
      </c>
      <c r="D42" s="54">
        <f>Proyecciones!E103</f>
        <v>0</v>
      </c>
      <c r="E42" s="54">
        <f>Proyecciones!F103</f>
        <v>0</v>
      </c>
      <c r="F42" s="54">
        <f>Proyecciones!G103</f>
        <v>0</v>
      </c>
      <c r="G42" s="54">
        <f>Proyecciones!H103</f>
        <v>0</v>
      </c>
    </row>
    <row r="43" spans="1:7" ht="12.75">
      <c r="A43" s="117" t="s">
        <v>56</v>
      </c>
      <c r="B43" s="144">
        <v>0</v>
      </c>
      <c r="C43" s="54">
        <f>Proyecciones!D183</f>
        <v>356934.5345625597</v>
      </c>
      <c r="D43" s="54">
        <f>Proyecciones!E183</f>
        <v>20773.589911540974</v>
      </c>
      <c r="E43" s="54">
        <f>Proyecciones!F183</f>
        <v>902721.3126418373</v>
      </c>
      <c r="F43" s="54">
        <f>Proyecciones!G183</f>
        <v>1930466.101855242</v>
      </c>
      <c r="G43" s="54">
        <f>Proyecciones!H183</f>
        <v>3297281.1961499485</v>
      </c>
    </row>
    <row r="44" spans="1:7" ht="12.75">
      <c r="A44" s="117" t="s">
        <v>228</v>
      </c>
      <c r="B44" s="144"/>
      <c r="C44" s="54">
        <f>Proyecciones!D105</f>
        <v>0</v>
      </c>
      <c r="D44" s="54">
        <f>Proyecciones!E105</f>
        <v>0</v>
      </c>
      <c r="E44" s="54">
        <f>Proyecciones!F105</f>
        <v>0</v>
      </c>
      <c r="F44" s="54">
        <f>Proyecciones!G105</f>
        <v>0</v>
      </c>
      <c r="G44" s="54">
        <f>Proyecciones!H105</f>
        <v>0</v>
      </c>
    </row>
    <row r="45" spans="1:7" ht="12.75">
      <c r="A45" s="117" t="s">
        <v>57</v>
      </c>
      <c r="B45" s="54">
        <f>'Deuda $'!C14</f>
        <v>0</v>
      </c>
      <c r="C45" s="54">
        <f>'Deuda $'!D14</f>
        <v>0</v>
      </c>
      <c r="D45" s="54">
        <f>'Deuda $'!E14</f>
        <v>0</v>
      </c>
      <c r="E45" s="54">
        <f>'Deuda $'!F14</f>
        <v>0</v>
      </c>
      <c r="F45" s="54">
        <f>'Deuda $'!G14</f>
        <v>0</v>
      </c>
      <c r="G45" s="54">
        <f>'Deuda $'!H14</f>
        <v>0</v>
      </c>
    </row>
    <row r="46" spans="1:7" ht="12.75">
      <c r="A46" s="117" t="s">
        <v>58</v>
      </c>
      <c r="B46" s="144"/>
      <c r="C46" s="54">
        <f>Proyecciones!D107</f>
        <v>0</v>
      </c>
      <c r="D46" s="54">
        <f>Proyecciones!E107</f>
        <v>0</v>
      </c>
      <c r="E46" s="54">
        <f>Proyecciones!F107</f>
        <v>0</v>
      </c>
      <c r="F46" s="54">
        <f>Proyecciones!G107</f>
        <v>0</v>
      </c>
      <c r="G46" s="54">
        <f>Proyecciones!H107</f>
        <v>0</v>
      </c>
    </row>
    <row r="47" spans="1:7" ht="12.75">
      <c r="A47" s="117" t="s">
        <v>157</v>
      </c>
      <c r="B47" s="144">
        <f>Proyecciones!C188</f>
        <v>50000000</v>
      </c>
      <c r="C47" s="144">
        <f>Proyecciones!D188</f>
        <v>50000000</v>
      </c>
      <c r="D47" s="144">
        <f>Proyecciones!E188</f>
        <v>50000000</v>
      </c>
      <c r="E47" s="144">
        <f>Proyecciones!F188</f>
        <v>50000000</v>
      </c>
      <c r="F47" s="144">
        <f>Proyecciones!G188</f>
        <v>50000000</v>
      </c>
      <c r="G47" s="144">
        <f>Proyecciones!H188</f>
        <v>50000000</v>
      </c>
    </row>
    <row r="48" spans="1:7" s="146" customFormat="1" ht="12.75">
      <c r="A48" s="127" t="s">
        <v>59</v>
      </c>
      <c r="B48" s="145">
        <f aca="true" t="shared" si="7" ref="B48:G48">SUM(B42:B47)</f>
        <v>50000000</v>
      </c>
      <c r="C48" s="145">
        <f t="shared" si="7"/>
        <v>50356934.53456256</v>
      </c>
      <c r="D48" s="145">
        <f t="shared" si="7"/>
        <v>50020773.58991154</v>
      </c>
      <c r="E48" s="145">
        <f t="shared" si="7"/>
        <v>50902721.31264184</v>
      </c>
      <c r="F48" s="145">
        <f t="shared" si="7"/>
        <v>51930466.10185524</v>
      </c>
      <c r="G48" s="145">
        <f t="shared" si="7"/>
        <v>53297281.196149945</v>
      </c>
    </row>
    <row r="49" spans="1:7" ht="12.75">
      <c r="A49" s="114" t="s">
        <v>26</v>
      </c>
      <c r="B49" s="121"/>
      <c r="C49" s="121"/>
      <c r="D49" s="121"/>
      <c r="E49" s="121"/>
      <c r="F49" s="121"/>
      <c r="G49" s="121"/>
    </row>
    <row r="50" spans="1:7" ht="12.75">
      <c r="A50" s="117" t="s">
        <v>29</v>
      </c>
      <c r="B50" s="144">
        <f>Proyecciones!C186</f>
        <v>0</v>
      </c>
      <c r="C50" s="54">
        <f>Proyecciones!D191</f>
        <v>0</v>
      </c>
      <c r="D50" s="54">
        <f>Proyecciones!E191</f>
        <v>0</v>
      </c>
      <c r="E50" s="54">
        <f>Proyecciones!F191</f>
        <v>0</v>
      </c>
      <c r="F50" s="54">
        <f>Proyecciones!G191</f>
        <v>0</v>
      </c>
      <c r="G50" s="54">
        <f>Proyecciones!H191</f>
        <v>0</v>
      </c>
    </row>
    <row r="51" spans="1:7" s="45" customFormat="1" ht="12.75">
      <c r="A51" s="117" t="s">
        <v>32</v>
      </c>
      <c r="B51" s="144">
        <v>0</v>
      </c>
      <c r="C51" s="54">
        <f>Proyecciones!D193</f>
        <v>0</v>
      </c>
      <c r="D51" s="54">
        <f>Proyecciones!E193</f>
        <v>0</v>
      </c>
      <c r="E51" s="54">
        <f>Proyecciones!F193</f>
        <v>0</v>
      </c>
      <c r="F51" s="54">
        <f>Proyecciones!G193</f>
        <v>0</v>
      </c>
      <c r="G51" s="54">
        <f>Proyecciones!H193</f>
        <v>0</v>
      </c>
    </row>
    <row r="52" spans="1:7" ht="12.75">
      <c r="A52" s="117" t="s">
        <v>33</v>
      </c>
      <c r="B52" s="144">
        <v>0</v>
      </c>
      <c r="C52" s="54">
        <f>Proyecciones!D194</f>
        <v>0</v>
      </c>
      <c r="D52" s="54">
        <f>Proyecciones!E194</f>
        <v>11540883.284189431</v>
      </c>
      <c r="E52" s="54">
        <f>Proyecciones!F194</f>
        <v>10400440.225779958</v>
      </c>
      <c r="F52" s="54">
        <f>Proyecciones!G194</f>
        <v>39588429.33453269</v>
      </c>
      <c r="G52" s="54">
        <f>Proyecciones!H194</f>
        <v>102006833.29451886</v>
      </c>
    </row>
    <row r="53" spans="1:7" ht="12.75">
      <c r="A53" s="117" t="s">
        <v>34</v>
      </c>
      <c r="B53" s="144">
        <v>0</v>
      </c>
      <c r="C53" s="54">
        <f>Proyecciones!D195</f>
        <v>11540883.284189431</v>
      </c>
      <c r="D53" s="54">
        <f>Proyecciones!E195</f>
        <v>-1140443.058409473</v>
      </c>
      <c r="E53" s="54">
        <f>Proyecciones!F195</f>
        <v>29187989.10875274</v>
      </c>
      <c r="F53" s="54">
        <f>Proyecciones!G195</f>
        <v>62418403.95998616</v>
      </c>
      <c r="G53" s="54">
        <f>Proyecciones!H195</f>
        <v>106612092.00884834</v>
      </c>
    </row>
    <row r="54" spans="1:7" s="45" customFormat="1" ht="12.75">
      <c r="A54" s="143" t="s">
        <v>60</v>
      </c>
      <c r="B54" s="144">
        <v>0</v>
      </c>
      <c r="C54" s="54">
        <f>Proyecciones!D198</f>
        <v>0</v>
      </c>
      <c r="D54" s="54">
        <f>Proyecciones!E198</f>
        <v>0</v>
      </c>
      <c r="E54" s="54">
        <f>Proyecciones!F198</f>
        <v>461635.33136757725</v>
      </c>
      <c r="F54" s="54">
        <f>Proyecciones!G198</f>
        <v>877652.9403987755</v>
      </c>
      <c r="G54" s="54">
        <f>Proyecciones!H198</f>
        <v>2461190.113780083</v>
      </c>
    </row>
    <row r="55" spans="1:7" s="146" customFormat="1" ht="12.75">
      <c r="A55" s="127" t="s">
        <v>38</v>
      </c>
      <c r="B55" s="145">
        <f aca="true" t="shared" si="8" ref="B55:G55">B50+B51+B52+B53+B54</f>
        <v>0</v>
      </c>
      <c r="C55" s="145">
        <f t="shared" si="8"/>
        <v>11540883.284189431</v>
      </c>
      <c r="D55" s="145">
        <f t="shared" si="8"/>
        <v>10400440.225779958</v>
      </c>
      <c r="E55" s="145">
        <f t="shared" si="8"/>
        <v>40050064.66590027</v>
      </c>
      <c r="F55" s="145">
        <f t="shared" si="8"/>
        <v>102884486.23491764</v>
      </c>
      <c r="G55" s="145">
        <f t="shared" si="8"/>
        <v>211080115.41714728</v>
      </c>
    </row>
    <row r="56" spans="1:7" s="146" customFormat="1" ht="12.75">
      <c r="A56" s="127" t="s">
        <v>61</v>
      </c>
      <c r="B56" s="128">
        <f aca="true" t="shared" si="9" ref="B56:G56">B48+B55</f>
        <v>50000000</v>
      </c>
      <c r="C56" s="128">
        <f t="shared" si="9"/>
        <v>61897817.81875199</v>
      </c>
      <c r="D56" s="128">
        <f t="shared" si="9"/>
        <v>60421213.8156915</v>
      </c>
      <c r="E56" s="128">
        <f t="shared" si="9"/>
        <v>90952785.9785421</v>
      </c>
      <c r="F56" s="128">
        <f t="shared" si="9"/>
        <v>154814952.3367729</v>
      </c>
      <c r="G56" s="128">
        <f t="shared" si="9"/>
        <v>264377396.61329722</v>
      </c>
    </row>
    <row r="57" spans="2:7" ht="12.75">
      <c r="B57" s="150"/>
      <c r="C57" s="150"/>
      <c r="D57" s="150"/>
      <c r="E57" s="150"/>
      <c r="F57" s="150"/>
      <c r="G57" s="150"/>
    </row>
    <row r="58" spans="1:7" s="153" customFormat="1" ht="12.75" hidden="1" outlineLevel="1">
      <c r="A58" s="151" t="s">
        <v>62</v>
      </c>
      <c r="B58" s="152">
        <f aca="true" t="shared" si="10" ref="B58:G58">B56-B40</f>
        <v>0</v>
      </c>
      <c r="C58" s="152">
        <f t="shared" si="10"/>
        <v>522500</v>
      </c>
      <c r="D58" s="152">
        <f t="shared" si="10"/>
        <v>1065900</v>
      </c>
      <c r="E58" s="152">
        <f t="shared" si="10"/>
        <v>1631035.999999985</v>
      </c>
      <c r="F58" s="152">
        <f t="shared" si="10"/>
        <v>2218777.4400000274</v>
      </c>
      <c r="G58" s="152">
        <f t="shared" si="10"/>
        <v>2830028.5376000404</v>
      </c>
    </row>
    <row r="59" spans="2:7" ht="12.75" collapsed="1">
      <c r="B59" s="150"/>
      <c r="C59" s="75"/>
      <c r="D59" s="75"/>
      <c r="E59" s="75"/>
      <c r="F59" s="75"/>
      <c r="G59" s="75"/>
    </row>
  </sheetData>
  <sheetProtection/>
  <conditionalFormatting sqref="B58:G58">
    <cfRule type="cellIs" priority="1" dxfId="0" operator="notEqual" stopIfTrue="1">
      <formula>0</formula>
    </cfRule>
  </conditionalFormatting>
  <conditionalFormatting sqref="B5:G5">
    <cfRule type="cellIs" priority="2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3937007874015748" header="0.5905511811023623" footer="0.5118110236220472"/>
  <pageSetup fitToHeight="1" fitToWidth="1" horizontalDpi="300" verticalDpi="300" orientation="landscape" scale="93" r:id="rId1"/>
  <headerFooter alignWithMargins="0">
    <oddHeader>&amp;C&amp;"Arial,Negrita"&amp;14MODELAJE FINANCIERO
&amp;12BALANCE GENERAL ANUAL&amp;"Arial,Normal"&amp;10
</oddHeader>
    <oddFooter>&amp;L&amp;"Arial,Negrita"&amp;8&amp;F&amp;C&amp;"Arial,Negrita"&amp;8Página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theme="6"/>
    <pageSetUpPr fitToPage="1"/>
  </sheetPr>
  <dimension ref="A1:G43"/>
  <sheetViews>
    <sheetView showGridLines="0" showOutlineSymbols="0" zoomScalePageLayoutView="0" workbookViewId="0" topLeftCell="A1">
      <pane xSplit="1" ySplit="2" topLeftCell="B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32" sqref="J32"/>
    </sheetView>
  </sheetViews>
  <sheetFormatPr defaultColWidth="11.421875" defaultRowHeight="12.75" outlineLevelRow="2"/>
  <cols>
    <col min="1" max="1" width="41.140625" style="110" bestFit="1" customWidth="1"/>
    <col min="2" max="2" width="17.421875" style="113" customWidth="1"/>
    <col min="3" max="4" width="17.140625" style="112" customWidth="1"/>
    <col min="5" max="6" width="18.28125" style="112" customWidth="1"/>
    <col min="7" max="16384" width="11.421875" style="112" customWidth="1"/>
  </cols>
  <sheetData>
    <row r="1" spans="2:6" ht="13.5" thickBot="1">
      <c r="B1" s="111">
        <f>Proyecciones!D2</f>
        <v>2019</v>
      </c>
      <c r="C1" s="111">
        <f>Proyecciones!E2</f>
        <v>2020</v>
      </c>
      <c r="D1" s="111">
        <f>Proyecciones!F2</f>
        <v>2021</v>
      </c>
      <c r="E1" s="111">
        <f>Proyecciones!G2</f>
        <v>2022</v>
      </c>
      <c r="F1" s="111">
        <f>Proyecciones!H2</f>
        <v>2023</v>
      </c>
    </row>
    <row r="2" ht="14.25" thickBot="1" thickTop="1">
      <c r="A2" s="154" t="s">
        <v>79</v>
      </c>
    </row>
    <row r="3" spans="1:7" s="28" customFormat="1" ht="13.5" thickTop="1">
      <c r="A3" s="114" t="s">
        <v>80</v>
      </c>
      <c r="B3" s="115"/>
      <c r="C3" s="116"/>
      <c r="D3" s="116"/>
      <c r="E3" s="116"/>
      <c r="F3" s="116"/>
      <c r="G3" s="116"/>
    </row>
    <row r="4" spans="1:6" ht="12.75" outlineLevel="1">
      <c r="A4" s="117" t="s">
        <v>124</v>
      </c>
      <c r="B4" s="54">
        <f>'P&amp;G'!B14</f>
        <v>11447817.81875199</v>
      </c>
      <c r="C4" s="54">
        <f>'P&amp;G'!C14</f>
        <v>-1516769.468497932</v>
      </c>
      <c r="D4" s="54">
        <f>'P&amp;G'!D14</f>
        <v>30161097.752762154</v>
      </c>
      <c r="E4" s="54">
        <f>'P&amp;G'!E14</f>
        <v>64380595.190872595</v>
      </c>
      <c r="F4" s="54">
        <f>'P&amp;G'!F14</f>
        <v>111116755.85677959</v>
      </c>
    </row>
    <row r="5" spans="1:6" ht="12.75" outlineLevel="1">
      <c r="A5" s="117" t="s">
        <v>144</v>
      </c>
      <c r="B5" s="54">
        <f>Proyecciones!D68</f>
        <v>0</v>
      </c>
      <c r="C5" s="54">
        <f>Proyecciones!E68</f>
        <v>0</v>
      </c>
      <c r="D5" s="54">
        <f>Proyecciones!F68</f>
        <v>0</v>
      </c>
      <c r="E5" s="54">
        <f>Proyecciones!G68</f>
        <v>0</v>
      </c>
      <c r="F5" s="54">
        <f>Proyecciones!H68</f>
        <v>0</v>
      </c>
    </row>
    <row r="6" spans="1:6" ht="12.75" outlineLevel="1">
      <c r="A6" s="117" t="s">
        <v>241</v>
      </c>
      <c r="B6" s="54">
        <f>'P&amp;G'!B13</f>
        <v>0</v>
      </c>
      <c r="C6" s="54">
        <f>'P&amp;G'!C13</f>
        <v>0</v>
      </c>
      <c r="D6" s="54">
        <f>'P&amp;G'!D13</f>
        <v>0</v>
      </c>
      <c r="E6" s="54">
        <f>'P&amp;G'!E13</f>
        <v>0</v>
      </c>
      <c r="F6" s="54">
        <f>'P&amp;G'!F13</f>
        <v>0</v>
      </c>
    </row>
    <row r="7" spans="1:6" ht="12.75" outlineLevel="1">
      <c r="A7" s="117" t="s">
        <v>239</v>
      </c>
      <c r="B7" s="54">
        <f>'P&amp;G'!B7</f>
        <v>0</v>
      </c>
      <c r="C7" s="54">
        <f>'P&amp;G'!C7</f>
        <v>0</v>
      </c>
      <c r="D7" s="54">
        <f>'P&amp;G'!D7</f>
        <v>0</v>
      </c>
      <c r="E7" s="54">
        <f>'P&amp;G'!E7</f>
        <v>0</v>
      </c>
      <c r="F7" s="54">
        <f>'P&amp;G'!F7</f>
        <v>0</v>
      </c>
    </row>
    <row r="8" spans="1:6" ht="12.75" outlineLevel="1">
      <c r="A8" s="117" t="s">
        <v>143</v>
      </c>
      <c r="B8" s="54">
        <f>Proyecciones!D83</f>
        <v>0</v>
      </c>
      <c r="C8" s="54">
        <f>Proyecciones!E83</f>
        <v>0</v>
      </c>
      <c r="D8" s="54">
        <f>Proyecciones!F83</f>
        <v>0</v>
      </c>
      <c r="E8" s="54">
        <f>Proyecciones!G83</f>
        <v>0</v>
      </c>
      <c r="F8" s="54">
        <f>Proyecciones!H83</f>
        <v>0</v>
      </c>
    </row>
    <row r="9" spans="1:6" ht="12.75" outlineLevel="1">
      <c r="A9" s="117" t="s">
        <v>25</v>
      </c>
      <c r="B9" s="54">
        <f>-Proyecciones!D184</f>
        <v>0</v>
      </c>
      <c r="C9" s="54">
        <f>-Proyecciones!E184</f>
        <v>-356934.5345625597</v>
      </c>
      <c r="D9" s="54">
        <f>-Proyecciones!F184</f>
        <v>-20773.589911540974</v>
      </c>
      <c r="E9" s="54">
        <f>-Proyecciones!G184</f>
        <v>-902721.3126418373</v>
      </c>
      <c r="F9" s="54">
        <f>-Proyecciones!H184</f>
        <v>-1930466.101855242</v>
      </c>
    </row>
    <row r="10" spans="1:6" s="120" customFormat="1" ht="13.5" customHeight="1">
      <c r="A10" s="118" t="s">
        <v>81</v>
      </c>
      <c r="B10" s="119">
        <f>SUM(B4:B9)</f>
        <v>11447817.81875199</v>
      </c>
      <c r="C10" s="119">
        <f>SUM(C4:C9)</f>
        <v>-1873704.0030604918</v>
      </c>
      <c r="D10" s="119">
        <f>SUM(D4:D9)</f>
        <v>30140324.16285061</v>
      </c>
      <c r="E10" s="119">
        <f>SUM(E4:E9)</f>
        <v>63477873.87823076</v>
      </c>
      <c r="F10" s="119">
        <f>SUM(F4:F9)</f>
        <v>109186289.75492434</v>
      </c>
    </row>
    <row r="11" spans="1:7" s="28" customFormat="1" ht="12.75">
      <c r="A11" s="114" t="s">
        <v>82</v>
      </c>
      <c r="B11" s="121"/>
      <c r="C11" s="55"/>
      <c r="D11" s="55"/>
      <c r="E11" s="55"/>
      <c r="F11" s="55"/>
      <c r="G11" s="116"/>
    </row>
    <row r="12" spans="1:6" s="124" customFormat="1" ht="12.75" outlineLevel="2">
      <c r="A12" s="122" t="s">
        <v>158</v>
      </c>
      <c r="B12" s="123">
        <f>Proyecciones!D80</f>
        <v>0</v>
      </c>
      <c r="C12" s="123">
        <f>Proyecciones!E80</f>
        <v>0</v>
      </c>
      <c r="D12" s="123">
        <f>Proyecciones!F80</f>
        <v>0</v>
      </c>
      <c r="E12" s="123">
        <f>Proyecciones!G80</f>
        <v>0</v>
      </c>
      <c r="F12" s="123">
        <f>Proyecciones!H80</f>
        <v>0</v>
      </c>
    </row>
    <row r="13" spans="1:6" s="124" customFormat="1" ht="12.75" outlineLevel="2">
      <c r="A13" s="122" t="s">
        <v>301</v>
      </c>
      <c r="B13" s="123">
        <f>Proyecciones!D93</f>
        <v>0</v>
      </c>
      <c r="C13" s="123">
        <f>Proyecciones!E93</f>
        <v>0</v>
      </c>
      <c r="D13" s="123">
        <f>Proyecciones!F93</f>
        <v>0</v>
      </c>
      <c r="E13" s="123">
        <f>Proyecciones!G93</f>
        <v>0</v>
      </c>
      <c r="F13" s="123">
        <f>Proyecciones!H93</f>
        <v>0</v>
      </c>
    </row>
    <row r="14" spans="1:6" s="124" customFormat="1" ht="12.75" outlineLevel="2">
      <c r="A14" s="122" t="s">
        <v>159</v>
      </c>
      <c r="B14" s="123">
        <f>Proyecciones!D90</f>
        <v>0</v>
      </c>
      <c r="C14" s="123">
        <f>Proyecciones!E90</f>
        <v>0</v>
      </c>
      <c r="D14" s="123">
        <f>Proyecciones!F90</f>
        <v>0</v>
      </c>
      <c r="E14" s="123">
        <f>Proyecciones!G90</f>
        <v>0</v>
      </c>
      <c r="F14" s="123">
        <f>Proyecciones!H90</f>
        <v>0</v>
      </c>
    </row>
    <row r="15" spans="1:6" s="124" customFormat="1" ht="12.75" outlineLevel="2">
      <c r="A15" s="122" t="s">
        <v>160</v>
      </c>
      <c r="B15" s="123">
        <f>Proyecciones!D87</f>
        <v>0</v>
      </c>
      <c r="C15" s="123">
        <f>Proyecciones!E87</f>
        <v>0</v>
      </c>
      <c r="D15" s="123">
        <f>Proyecciones!F87</f>
        <v>0</v>
      </c>
      <c r="E15" s="123">
        <f>Proyecciones!G87</f>
        <v>0</v>
      </c>
      <c r="F15" s="123">
        <f>Proyecciones!H87</f>
        <v>0</v>
      </c>
    </row>
    <row r="16" spans="1:6" s="124" customFormat="1" ht="12.75" outlineLevel="2">
      <c r="A16" s="122" t="s">
        <v>236</v>
      </c>
      <c r="B16" s="123">
        <f>-Proyecciones!D97</f>
        <v>0</v>
      </c>
      <c r="C16" s="123">
        <f>-Proyecciones!E97</f>
        <v>0</v>
      </c>
      <c r="D16" s="123">
        <f>-Proyecciones!F97</f>
        <v>0</v>
      </c>
      <c r="E16" s="123">
        <f>-Proyecciones!G97</f>
        <v>0</v>
      </c>
      <c r="F16" s="123">
        <f>-Proyecciones!H97</f>
        <v>0</v>
      </c>
    </row>
    <row r="17" spans="1:6" s="124" customFormat="1" ht="12.75" outlineLevel="2">
      <c r="A17" s="122" t="s">
        <v>219</v>
      </c>
      <c r="B17" s="123">
        <f>-Proyecciones!D99</f>
        <v>0</v>
      </c>
      <c r="C17" s="123">
        <f>-Proyecciones!E99</f>
        <v>0</v>
      </c>
      <c r="D17" s="123">
        <f>-Proyecciones!F99</f>
        <v>0</v>
      </c>
      <c r="E17" s="123">
        <f>-Proyecciones!G99</f>
        <v>0</v>
      </c>
      <c r="F17" s="123">
        <f>-Proyecciones!H99</f>
        <v>0</v>
      </c>
    </row>
    <row r="18" spans="1:6" s="124" customFormat="1" ht="12.75" outlineLevel="2">
      <c r="A18" s="122" t="s">
        <v>161</v>
      </c>
      <c r="B18" s="123">
        <f>Proyecciones!D104</f>
        <v>0</v>
      </c>
      <c r="C18" s="123">
        <f>Proyecciones!E104</f>
        <v>0</v>
      </c>
      <c r="D18" s="123">
        <f>Proyecciones!F104</f>
        <v>0</v>
      </c>
      <c r="E18" s="123">
        <f>Proyecciones!G104</f>
        <v>0</v>
      </c>
      <c r="F18" s="123">
        <f>Proyecciones!H104</f>
        <v>0</v>
      </c>
    </row>
    <row r="19" spans="1:6" s="124" customFormat="1" ht="12.75" outlineLevel="2">
      <c r="A19" s="122" t="s">
        <v>230</v>
      </c>
      <c r="B19" s="123">
        <f>Proyecciones!D106</f>
        <v>0</v>
      </c>
      <c r="C19" s="123">
        <f>Proyecciones!E106</f>
        <v>0</v>
      </c>
      <c r="D19" s="123">
        <f>Proyecciones!F106</f>
        <v>0</v>
      </c>
      <c r="E19" s="123">
        <f>Proyecciones!G106</f>
        <v>0</v>
      </c>
      <c r="F19" s="123">
        <f>Proyecciones!H106</f>
        <v>0</v>
      </c>
    </row>
    <row r="20" spans="1:6" s="124" customFormat="1" ht="12.75" outlineLevel="2">
      <c r="A20" s="122" t="s">
        <v>232</v>
      </c>
      <c r="B20" s="123">
        <f>Proyecciones!D108</f>
        <v>0</v>
      </c>
      <c r="C20" s="123">
        <f>Proyecciones!E108</f>
        <v>0</v>
      </c>
      <c r="D20" s="123">
        <f>Proyecciones!F108</f>
        <v>0</v>
      </c>
      <c r="E20" s="123">
        <f>Proyecciones!G108</f>
        <v>0</v>
      </c>
      <c r="F20" s="123">
        <f>Proyecciones!H108</f>
        <v>0</v>
      </c>
    </row>
    <row r="21" spans="1:6" ht="12.75" outlineLevel="1">
      <c r="A21" s="117" t="s">
        <v>83</v>
      </c>
      <c r="B21" s="54">
        <f>SUM(B12:B20)</f>
        <v>0</v>
      </c>
      <c r="C21" s="54">
        <f>SUM(C12:C20)</f>
        <v>0</v>
      </c>
      <c r="D21" s="54">
        <f>SUM(D12:D20)</f>
        <v>0</v>
      </c>
      <c r="E21" s="54">
        <f>SUM(E12:E20)</f>
        <v>0</v>
      </c>
      <c r="F21" s="54">
        <f>SUM(F12:F20)</f>
        <v>0</v>
      </c>
    </row>
    <row r="22" spans="1:6" s="124" customFormat="1" ht="12.75" outlineLevel="2">
      <c r="A22" s="122" t="s">
        <v>184</v>
      </c>
      <c r="B22" s="123">
        <f>-Proyecciones!D163</f>
        <v>0</v>
      </c>
      <c r="C22" s="123">
        <f>-Proyecciones!E163</f>
        <v>0</v>
      </c>
      <c r="D22" s="123">
        <f>-Proyecciones!F163</f>
        <v>0</v>
      </c>
      <c r="E22" s="123">
        <f>-Proyecciones!G163</f>
        <v>0</v>
      </c>
      <c r="F22" s="123">
        <f>-Proyecciones!H163</f>
        <v>0</v>
      </c>
    </row>
    <row r="23" spans="1:6" s="124" customFormat="1" ht="12.75" outlineLevel="2">
      <c r="A23" s="122" t="s">
        <v>187</v>
      </c>
      <c r="B23" s="123">
        <f>-Proyecciones!D164</f>
        <v>0</v>
      </c>
      <c r="C23" s="123">
        <f>-Proyecciones!E164</f>
        <v>0</v>
      </c>
      <c r="D23" s="123">
        <f>-Proyecciones!F164</f>
        <v>0</v>
      </c>
      <c r="E23" s="123">
        <f>-Proyecciones!G164</f>
        <v>0</v>
      </c>
      <c r="F23" s="123">
        <f>-Proyecciones!H164</f>
        <v>0</v>
      </c>
    </row>
    <row r="24" spans="1:6" s="124" customFormat="1" ht="12.75" outlineLevel="2">
      <c r="A24" s="122" t="s">
        <v>188</v>
      </c>
      <c r="B24" s="123">
        <f>-Proyecciones!D165</f>
        <v>0</v>
      </c>
      <c r="C24" s="123">
        <f>-Proyecciones!E165</f>
        <v>0</v>
      </c>
      <c r="D24" s="123">
        <f>-Proyecciones!F165</f>
        <v>0</v>
      </c>
      <c r="E24" s="123">
        <f>-Proyecciones!G165</f>
        <v>0</v>
      </c>
      <c r="F24" s="123">
        <f>-Proyecciones!H165</f>
        <v>0</v>
      </c>
    </row>
    <row r="25" spans="1:6" s="124" customFormat="1" ht="12.75" outlineLevel="2">
      <c r="A25" s="122" t="s">
        <v>190</v>
      </c>
      <c r="B25" s="123">
        <f>-Proyecciones!D166</f>
        <v>0</v>
      </c>
      <c r="C25" s="123">
        <f>-Proyecciones!E166</f>
        <v>0</v>
      </c>
      <c r="D25" s="123">
        <f>-Proyecciones!F166</f>
        <v>0</v>
      </c>
      <c r="E25" s="123">
        <f>-Proyecciones!G166</f>
        <v>0</v>
      </c>
      <c r="F25" s="123">
        <f>-Proyecciones!H166</f>
        <v>0</v>
      </c>
    </row>
    <row r="26" spans="1:6" s="124" customFormat="1" ht="12.75" outlineLevel="2">
      <c r="A26" s="122" t="s">
        <v>192</v>
      </c>
      <c r="B26" s="123">
        <f>-Proyecciones!D167</f>
        <v>0</v>
      </c>
      <c r="C26" s="123">
        <f>-Proyecciones!E167</f>
        <v>0</v>
      </c>
      <c r="D26" s="123">
        <f>-Proyecciones!F167</f>
        <v>0</v>
      </c>
      <c r="E26" s="123">
        <f>-Proyecciones!G167</f>
        <v>0</v>
      </c>
      <c r="F26" s="123">
        <f>-Proyecciones!H167</f>
        <v>0</v>
      </c>
    </row>
    <row r="27" spans="1:6" s="124" customFormat="1" ht="12.75" outlineLevel="2">
      <c r="A27" s="122" t="s">
        <v>189</v>
      </c>
      <c r="B27" s="123">
        <f>-Proyecciones!D168</f>
        <v>0</v>
      </c>
      <c r="C27" s="123">
        <f>-Proyecciones!E168</f>
        <v>0</v>
      </c>
      <c r="D27" s="123">
        <f>-Proyecciones!F168</f>
        <v>0</v>
      </c>
      <c r="E27" s="123">
        <f>-Proyecciones!G168</f>
        <v>0</v>
      </c>
      <c r="F27" s="123">
        <f>-Proyecciones!H168</f>
        <v>0</v>
      </c>
    </row>
    <row r="28" spans="1:6" s="124" customFormat="1" ht="12.75" hidden="1" outlineLevel="2">
      <c r="A28" s="122" t="s">
        <v>206</v>
      </c>
      <c r="B28" s="123">
        <f>-Proyecciones!D169</f>
        <v>0</v>
      </c>
      <c r="C28" s="123">
        <f>-Proyecciones!E169</f>
        <v>0</v>
      </c>
      <c r="D28" s="123">
        <f>-Proyecciones!F169</f>
        <v>0</v>
      </c>
      <c r="E28" s="123">
        <f>-Proyecciones!G169</f>
        <v>0</v>
      </c>
      <c r="F28" s="123">
        <f>-Proyecciones!H169</f>
        <v>0</v>
      </c>
    </row>
    <row r="29" spans="1:6" s="124" customFormat="1" ht="12.75" hidden="1" outlineLevel="2">
      <c r="A29" s="122" t="s">
        <v>210</v>
      </c>
      <c r="B29" s="123">
        <f>-Proyecciones!D170</f>
        <v>0</v>
      </c>
      <c r="C29" s="123">
        <f>-Proyecciones!E170</f>
        <v>0</v>
      </c>
      <c r="D29" s="123">
        <f>-Proyecciones!F170</f>
        <v>0</v>
      </c>
      <c r="E29" s="123">
        <f>-Proyecciones!G170</f>
        <v>0</v>
      </c>
      <c r="F29" s="123">
        <f>-Proyecciones!H170</f>
        <v>0</v>
      </c>
    </row>
    <row r="30" spans="1:6" s="124" customFormat="1" ht="12.75" outlineLevel="2">
      <c r="A30" s="122" t="s">
        <v>221</v>
      </c>
      <c r="B30" s="123">
        <f>-Proyecciones!D174</f>
        <v>0</v>
      </c>
      <c r="C30" s="123">
        <f>-Proyecciones!E174</f>
        <v>0</v>
      </c>
      <c r="D30" s="123">
        <f>-Proyecciones!F174</f>
        <v>0</v>
      </c>
      <c r="E30" s="123">
        <f>-Proyecciones!G174</f>
        <v>0</v>
      </c>
      <c r="F30" s="123">
        <f>-Proyecciones!H174</f>
        <v>0</v>
      </c>
    </row>
    <row r="31" spans="1:6" ht="12.75" outlineLevel="1">
      <c r="A31" s="117" t="s">
        <v>185</v>
      </c>
      <c r="B31" s="54">
        <f>SUM(B22:B30)</f>
        <v>0</v>
      </c>
      <c r="C31" s="54">
        <f>SUM(C22:C30)</f>
        <v>0</v>
      </c>
      <c r="D31" s="54">
        <f>SUM(D22:D30)</f>
        <v>0</v>
      </c>
      <c r="E31" s="54">
        <f>SUM(E22:E30)</f>
        <v>0</v>
      </c>
      <c r="F31" s="54">
        <f>SUM(F22:F30)</f>
        <v>0</v>
      </c>
    </row>
    <row r="32" spans="1:6" s="120" customFormat="1" ht="12.75">
      <c r="A32" s="118" t="s">
        <v>84</v>
      </c>
      <c r="B32" s="119">
        <f>B21+B31</f>
        <v>0</v>
      </c>
      <c r="C32" s="119">
        <f>C21+C31</f>
        <v>0</v>
      </c>
      <c r="D32" s="119">
        <f>D21+D31</f>
        <v>0</v>
      </c>
      <c r="E32" s="119">
        <f>E21+E31</f>
        <v>0</v>
      </c>
      <c r="F32" s="119">
        <f>F21+F31</f>
        <v>0</v>
      </c>
    </row>
    <row r="33" spans="1:7" s="28" customFormat="1" ht="12.75">
      <c r="A33" s="114" t="s">
        <v>85</v>
      </c>
      <c r="B33" s="121"/>
      <c r="C33" s="55"/>
      <c r="D33" s="55"/>
      <c r="E33" s="55"/>
      <c r="F33" s="55"/>
      <c r="G33" s="116"/>
    </row>
    <row r="34" spans="1:6" ht="12.75" outlineLevel="1">
      <c r="A34" s="117" t="s">
        <v>127</v>
      </c>
      <c r="B34" s="54">
        <f>'Deuda $'!D5</f>
        <v>0</v>
      </c>
      <c r="C34" s="54">
        <f>'Deuda $'!E5</f>
        <v>0</v>
      </c>
      <c r="D34" s="54">
        <f>'Deuda $'!F5</f>
        <v>0</v>
      </c>
      <c r="E34" s="54">
        <f>'Deuda $'!G5</f>
        <v>0</v>
      </c>
      <c r="F34" s="54">
        <f>'Deuda $'!H5</f>
        <v>0</v>
      </c>
    </row>
    <row r="35" spans="1:6" ht="12.75" outlineLevel="1">
      <c r="A35" s="117" t="s">
        <v>86</v>
      </c>
      <c r="B35" s="54">
        <f>-'Deuda $'!D22</f>
        <v>0</v>
      </c>
      <c r="C35" s="54">
        <f>-'Deuda $'!E22</f>
        <v>0</v>
      </c>
      <c r="D35" s="54">
        <f>-'Deuda $'!F22</f>
        <v>0</v>
      </c>
      <c r="E35" s="54">
        <f>-'Deuda $'!G22</f>
        <v>0</v>
      </c>
      <c r="F35" s="54">
        <f>-'Deuda $'!H22</f>
        <v>0</v>
      </c>
    </row>
    <row r="36" spans="1:6" ht="12.75" outlineLevel="1">
      <c r="A36" s="117" t="s">
        <v>87</v>
      </c>
      <c r="B36" s="54">
        <f>-'Deuda $'!D30</f>
        <v>0</v>
      </c>
      <c r="C36" s="54">
        <f>-'Deuda $'!E30</f>
        <v>0</v>
      </c>
      <c r="D36" s="54">
        <f>-'Deuda $'!F30</f>
        <v>0</v>
      </c>
      <c r="E36" s="54">
        <f>-'Deuda $'!G30</f>
        <v>0</v>
      </c>
      <c r="F36" s="54">
        <f>-'Deuda $'!H30</f>
        <v>0</v>
      </c>
    </row>
    <row r="37" spans="1:6" ht="12.75" outlineLevel="1">
      <c r="A37" s="117" t="s">
        <v>88</v>
      </c>
      <c r="B37" s="54">
        <f>-Proyecciones!D203</f>
        <v>0</v>
      </c>
      <c r="C37" s="54">
        <f>-Proyecciones!E203</f>
        <v>0</v>
      </c>
      <c r="D37" s="54">
        <f>-Proyecciones!F203</f>
        <v>0</v>
      </c>
      <c r="E37" s="54">
        <f>-Proyecciones!G203</f>
        <v>0</v>
      </c>
      <c r="F37" s="54">
        <f>-Proyecciones!H203</f>
        <v>0</v>
      </c>
    </row>
    <row r="38" spans="1:6" ht="12.75" outlineLevel="1">
      <c r="A38" s="117" t="s">
        <v>89</v>
      </c>
      <c r="B38" s="54">
        <f>Proyecciones!D187</f>
        <v>0</v>
      </c>
      <c r="C38" s="54">
        <f>Proyecciones!E187</f>
        <v>0</v>
      </c>
      <c r="D38" s="54">
        <f>Proyecciones!F187</f>
        <v>0</v>
      </c>
      <c r="E38" s="54">
        <f>Proyecciones!G187</f>
        <v>0</v>
      </c>
      <c r="F38" s="54">
        <f>Proyecciones!H187</f>
        <v>0</v>
      </c>
    </row>
    <row r="39" spans="1:6" s="120" customFormat="1" ht="12.75">
      <c r="A39" s="118" t="s">
        <v>90</v>
      </c>
      <c r="B39" s="119">
        <f>SUM(B34:B38)</f>
        <v>0</v>
      </c>
      <c r="C39" s="119">
        <f>SUM(C34:C38)</f>
        <v>0</v>
      </c>
      <c r="D39" s="119">
        <f>SUM(D34:D38)</f>
        <v>0</v>
      </c>
      <c r="E39" s="119">
        <f>SUM(E34:E38)</f>
        <v>0</v>
      </c>
      <c r="F39" s="119">
        <f>SUM(F34:F38)</f>
        <v>0</v>
      </c>
    </row>
    <row r="40" spans="1:6" s="120" customFormat="1" ht="12.75">
      <c r="A40" s="125"/>
      <c r="B40" s="126"/>
      <c r="C40" s="126"/>
      <c r="D40" s="126"/>
      <c r="E40" s="126"/>
      <c r="F40" s="126"/>
    </row>
    <row r="41" spans="1:6" s="129" customFormat="1" ht="12.75">
      <c r="A41" s="127" t="s">
        <v>91</v>
      </c>
      <c r="B41" s="128">
        <f>B10+B32+B39</f>
        <v>11447817.81875199</v>
      </c>
      <c r="C41" s="128">
        <f>C10+C32+C39</f>
        <v>-1873704.0030604918</v>
      </c>
      <c r="D41" s="128">
        <f>D10+D32+D39</f>
        <v>30140324.16285061</v>
      </c>
      <c r="E41" s="128">
        <f>E10+E32+E39</f>
        <v>63477873.87823076</v>
      </c>
      <c r="F41" s="128">
        <f>F10+F32+F39</f>
        <v>109186289.75492434</v>
      </c>
    </row>
    <row r="42" spans="1:6" s="129" customFormat="1" ht="12.75">
      <c r="A42" s="127" t="s">
        <v>92</v>
      </c>
      <c r="B42" s="128">
        <f>Balance!B5</f>
        <v>40000000</v>
      </c>
      <c r="C42" s="128">
        <f>Balance!C5</f>
        <v>51447817.81875199</v>
      </c>
      <c r="D42" s="128">
        <f>Balance!D5</f>
        <v>49574113.8156915</v>
      </c>
      <c r="E42" s="128">
        <f>Balance!E5</f>
        <v>79714437.97854212</v>
      </c>
      <c r="F42" s="128">
        <f>Balance!F5</f>
        <v>143192311.85677287</v>
      </c>
    </row>
    <row r="43" spans="1:6" s="129" customFormat="1" ht="12.75">
      <c r="A43" s="127" t="s">
        <v>93</v>
      </c>
      <c r="B43" s="128">
        <f>B41+B42</f>
        <v>51447817.81875199</v>
      </c>
      <c r="C43" s="128">
        <f>C41+C42</f>
        <v>49574113.8156915</v>
      </c>
      <c r="D43" s="128">
        <f>D41+D42</f>
        <v>79714437.97854212</v>
      </c>
      <c r="E43" s="128">
        <f>E41+E42</f>
        <v>143192311.85677287</v>
      </c>
      <c r="F43" s="128">
        <f>F41+F42</f>
        <v>252378601.6116972</v>
      </c>
    </row>
  </sheetData>
  <sheetProtection/>
  <printOptions horizontalCentered="1" verticalCentered="1"/>
  <pageMargins left="0.1968503937007874" right="0.1968503937007874" top="0.984251968503937" bottom="0.3937007874015748" header="0.5905511811023623" footer="0.5118110236220472"/>
  <pageSetup fitToHeight="1" fitToWidth="1" horizontalDpi="300" verticalDpi="300" orientation="landscape" r:id="rId1"/>
  <headerFooter alignWithMargins="0">
    <oddHeader>&amp;C&amp;"Arial,Negrita"&amp;14MODELAJE FINANCIERO
&amp;12FLUJO DE CAJA ANUAL</oddHeader>
    <oddFooter>&amp;L&amp;"Arial,Negrita"&amp;8&amp;F&amp;C&amp;"Arial,Negrita"&amp;8Página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theme="6"/>
    <pageSetUpPr fitToPage="1"/>
  </sheetPr>
  <dimension ref="A1:H54"/>
  <sheetViews>
    <sheetView showGridLines="0" zoomScalePageLayoutView="0" workbookViewId="0" topLeftCell="A1">
      <pane xSplit="1" ySplit="1" topLeftCell="B3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53" sqref="D53"/>
    </sheetView>
  </sheetViews>
  <sheetFormatPr defaultColWidth="11.421875" defaultRowHeight="12.75"/>
  <cols>
    <col min="1" max="1" width="40.7109375" style="82" customWidth="1"/>
    <col min="2" max="2" width="17.421875" style="90" customWidth="1"/>
    <col min="3" max="4" width="17.140625" style="84" customWidth="1"/>
    <col min="5" max="7" width="18.28125" style="84" customWidth="1"/>
    <col min="8" max="16384" width="11.421875" style="84" customWidth="1"/>
  </cols>
  <sheetData>
    <row r="1" spans="2:7" ht="13.5" thickBot="1">
      <c r="B1" s="83">
        <f>Proyecciones!C2</f>
        <v>0</v>
      </c>
      <c r="C1" s="83">
        <f>Proyecciones!D2</f>
        <v>2019</v>
      </c>
      <c r="D1" s="83">
        <f>Proyecciones!E2</f>
        <v>2020</v>
      </c>
      <c r="E1" s="83">
        <f>Proyecciones!F2</f>
        <v>2021</v>
      </c>
      <c r="F1" s="83">
        <f>Proyecciones!G2</f>
        <v>2022</v>
      </c>
      <c r="G1" s="83">
        <f>Proyecciones!H2</f>
        <v>2023</v>
      </c>
    </row>
    <row r="2" spans="1:8" s="88" customFormat="1" ht="14.25" thickBot="1" thickTop="1">
      <c r="A2" s="154" t="s">
        <v>248</v>
      </c>
      <c r="B2" s="85"/>
      <c r="C2" s="86"/>
      <c r="D2" s="87"/>
      <c r="E2" s="87"/>
      <c r="F2" s="87"/>
      <c r="G2" s="87"/>
      <c r="H2" s="87"/>
    </row>
    <row r="3" spans="2:8" ht="6.75" customHeight="1" thickTop="1">
      <c r="B3" s="86"/>
      <c r="C3" s="88"/>
      <c r="D3" s="88"/>
      <c r="E3" s="88"/>
      <c r="F3" s="88"/>
      <c r="G3" s="88"/>
      <c r="H3" s="88"/>
    </row>
    <row r="4" spans="1:7" ht="12.75">
      <c r="A4" s="89" t="s">
        <v>249</v>
      </c>
      <c r="C4" s="91">
        <f>Proyecciones!D4</f>
        <v>0.045</v>
      </c>
      <c r="D4" s="91">
        <f>Proyecciones!E4</f>
        <v>0.04</v>
      </c>
      <c r="E4" s="91">
        <f>Proyecciones!F4</f>
        <v>0.04</v>
      </c>
      <c r="F4" s="91">
        <f>Proyecciones!G4</f>
        <v>0.04</v>
      </c>
      <c r="G4" s="91">
        <f>Proyecciones!H4</f>
        <v>0.04</v>
      </c>
    </row>
    <row r="5" spans="1:7" ht="12.75">
      <c r="A5" s="89" t="s">
        <v>250</v>
      </c>
      <c r="C5" s="91">
        <f>Proyecciones!D5</f>
        <v>0.1226</v>
      </c>
      <c r="D5" s="91">
        <f>Proyecciones!E5</f>
        <v>0.131</v>
      </c>
      <c r="E5" s="91">
        <f>Proyecciones!F5</f>
        <v>0.1393</v>
      </c>
      <c r="F5" s="91">
        <f>Proyecciones!G5</f>
        <v>0.1476</v>
      </c>
      <c r="G5" s="91">
        <f>Proyecciones!H5</f>
        <v>0.1564</v>
      </c>
    </row>
    <row r="6" spans="1:7" ht="12.75">
      <c r="A6" s="89" t="s">
        <v>251</v>
      </c>
      <c r="C6" s="91">
        <f>Proyecciones!D8</f>
        <v>0.05</v>
      </c>
      <c r="D6" s="91">
        <f>Proyecciones!E8</f>
        <v>0.05</v>
      </c>
      <c r="E6" s="91">
        <f>Proyecciones!F8</f>
        <v>0.05</v>
      </c>
      <c r="F6" s="91">
        <f>Proyecciones!G8</f>
        <v>0.05</v>
      </c>
      <c r="G6" s="91">
        <f>Proyecciones!H8</f>
        <v>0.05</v>
      </c>
    </row>
    <row r="7" spans="1:7" ht="12.75">
      <c r="A7" s="89" t="s">
        <v>302</v>
      </c>
      <c r="C7" s="91">
        <f>Proyecciones!D9</f>
        <v>0.0961</v>
      </c>
      <c r="D7" s="91">
        <f>Proyecciones!E9</f>
        <v>0.0794</v>
      </c>
      <c r="E7" s="91">
        <f>Proyecciones!F9</f>
        <v>0.0708</v>
      </c>
      <c r="F7" s="91">
        <f>Proyecciones!G9</f>
        <v>0.0633</v>
      </c>
      <c r="G7" s="91">
        <f>Proyecciones!H9</f>
        <v>0.0559</v>
      </c>
    </row>
    <row r="8" spans="2:8" ht="6.75" customHeight="1" thickBot="1">
      <c r="B8" s="86"/>
      <c r="C8" s="88"/>
      <c r="D8" s="88"/>
      <c r="E8" s="88"/>
      <c r="F8" s="88"/>
      <c r="G8" s="88"/>
      <c r="H8" s="88"/>
    </row>
    <row r="9" spans="1:8" s="88" customFormat="1" ht="14.25" thickBot="1" thickTop="1">
      <c r="A9" s="154" t="s">
        <v>252</v>
      </c>
      <c r="B9" s="85"/>
      <c r="C9" s="86"/>
      <c r="D9" s="87"/>
      <c r="E9" s="87"/>
      <c r="F9" s="87"/>
      <c r="G9" s="87"/>
      <c r="H9" s="87"/>
    </row>
    <row r="10" spans="2:8" ht="6.75" customHeight="1" thickTop="1">
      <c r="B10" s="86"/>
      <c r="C10" s="88"/>
      <c r="D10" s="88"/>
      <c r="E10" s="88"/>
      <c r="F10" s="88"/>
      <c r="G10" s="88"/>
      <c r="H10" s="88"/>
    </row>
    <row r="11" spans="1:7" ht="12.75">
      <c r="A11" s="89" t="s">
        <v>253</v>
      </c>
      <c r="B11" s="92"/>
      <c r="C11" s="93" t="str">
        <f>IF(ISERROR(Proyecciones!D32/Proyecciones!C32),"N.A.",Proyecciones!D32/Proyecciones!C32-1)</f>
        <v>N.A.</v>
      </c>
      <c r="D11" s="93">
        <f>IF(ISERROR(Proyecciones!E32/Proyecciones!D32),"N.A.",Proyecciones!E32/Proyecciones!D32-1)</f>
        <v>-0.09794829496784829</v>
      </c>
      <c r="E11" s="93">
        <f>IF(ISERROR(Proyecciones!F32/Proyecciones!E32),"N.A.",Proyecciones!F32/Proyecciones!E32-1)</f>
        <v>0.09902799407230867</v>
      </c>
      <c r="F11" s="93">
        <f>IF(ISERROR(Proyecciones!G32/Proyecciones!F32),"N.A.",Proyecciones!G32/Proyecciones!F32-1)</f>
        <v>0.06594620937263995</v>
      </c>
      <c r="G11" s="93">
        <f>IF(ISERROR(Proyecciones!H32/Proyecciones!G32),"N.A.",Proyecciones!H32/Proyecciones!G32-1)</f>
        <v>0.03999569112080903</v>
      </c>
    </row>
    <row r="12" spans="1:7" ht="12.75">
      <c r="A12" s="89" t="s">
        <v>254</v>
      </c>
      <c r="B12" s="92"/>
      <c r="C12" s="93" t="str">
        <f>IF(ISERROR(Proyecciones!D33/Proyecciones!C33),"N.A.",Proyecciones!D33/Proyecciones!C33-1)</f>
        <v>N.A.</v>
      </c>
      <c r="D12" s="93">
        <f>IF(ISERROR(Proyecciones!E33/Proyecciones!D33),"N.A.",Proyecciones!E33/Proyecciones!D33-1)</f>
        <v>-0.011538461538461497</v>
      </c>
      <c r="E12" s="93">
        <f>IF(ISERROR(Proyecciones!F33/Proyecciones!E33),"N.A.",Proyecciones!F33/Proyecciones!E33-1)</f>
        <v>0.30719844357976656</v>
      </c>
      <c r="F12" s="93">
        <f>IF(ISERROR(Proyecciones!G33/Proyecciones!F33),"N.A.",Proyecciones!G33/Proyecciones!F33-1)</f>
        <v>0.2470084834052686</v>
      </c>
      <c r="G12" s="93">
        <f>IF(ISERROR(Proyecciones!H33/Proyecciones!G33),"N.A.",Proyecciones!H33/Proyecciones!G33-1)</f>
        <v>0.27852581945096855</v>
      </c>
    </row>
    <row r="13" spans="1:7" ht="12.75">
      <c r="A13" s="89" t="s">
        <v>255</v>
      </c>
      <c r="B13" s="92"/>
      <c r="C13" s="93" t="str">
        <f>IF(ISERROR(Proyecciones!D70/Proyecciones!C70),"N.A.",Proyecciones!D70/Proyecciones!C70-1)</f>
        <v>N.A.</v>
      </c>
      <c r="D13" s="93">
        <f>IF(ISERROR(Proyecciones!E70/Proyecciones!D70),"N.A.",Proyecciones!E70/Proyecciones!D70-1)</f>
        <v>-0.10301442348724077</v>
      </c>
      <c r="E13" s="93">
        <f>IF(ISERROR(Proyecciones!F70/Proyecciones!E70),"N.A.",Proyecciones!F70/Proyecciones!E70-1)</f>
        <v>0.42502486208346735</v>
      </c>
      <c r="F13" s="93">
        <f>IF(ISERROR(Proyecciones!G70/Proyecciones!F70),"N.A.",Proyecciones!G70/Proyecciones!F70-1)</f>
        <v>0.3262275482615902</v>
      </c>
      <c r="G13" s="93">
        <f>IF(ISERROR(Proyecciones!H70/Proyecciones!G70),"N.A.",Proyecciones!H70/Proyecciones!G70-1)</f>
        <v>0.32512553580868175</v>
      </c>
    </row>
    <row r="14" spans="1:7" ht="12.75">
      <c r="A14" s="89" t="s">
        <v>256</v>
      </c>
      <c r="B14" s="92"/>
      <c r="C14" s="93" t="str">
        <f>IF(ISERROR(Proyecciones!D74/Proyecciones!C74),"N.A.",Proyecciones!D74/Proyecciones!C74-1)</f>
        <v>N.A.</v>
      </c>
      <c r="D14" s="93">
        <f>IF(ISERROR(Proyecciones!E74/Proyecciones!D74),"N.A.",Proyecciones!E74/Proyecciones!D74-1)</f>
        <v>0.040000000000000036</v>
      </c>
      <c r="E14" s="93">
        <f>IF(ISERROR(Proyecciones!F74/Proyecciones!E74),"N.A.",Proyecciones!F74/Proyecciones!E74-1)</f>
        <v>0.040000000000000036</v>
      </c>
      <c r="F14" s="93">
        <f>IF(ISERROR(Proyecciones!G74/Proyecciones!F74),"N.A.",Proyecciones!G74/Proyecciones!F74-1)</f>
        <v>0.040000000000000036</v>
      </c>
      <c r="G14" s="93">
        <f>IF(ISERROR(Proyecciones!H74/Proyecciones!G74),"N.A.",Proyecciones!H74/Proyecciones!G74-1)</f>
        <v>0.040000000000000036</v>
      </c>
    </row>
    <row r="15" spans="1:7" ht="12.75">
      <c r="A15" s="89" t="s">
        <v>257</v>
      </c>
      <c r="B15" s="92"/>
      <c r="C15" s="94">
        <f>Proyecciones!D78</f>
        <v>0</v>
      </c>
      <c r="D15" s="94">
        <f>Proyecciones!E78</f>
        <v>0</v>
      </c>
      <c r="E15" s="94">
        <f>Proyecciones!F78</f>
        <v>0</v>
      </c>
      <c r="F15" s="94">
        <f>Proyecciones!G78</f>
        <v>0</v>
      </c>
      <c r="G15" s="94">
        <f>Proyecciones!H78</f>
        <v>0</v>
      </c>
    </row>
    <row r="16" spans="1:7" ht="12.75">
      <c r="A16" s="89" t="s">
        <v>258</v>
      </c>
      <c r="B16" s="92"/>
      <c r="C16" s="94">
        <f>Proyecciones!D102</f>
        <v>0</v>
      </c>
      <c r="D16" s="94">
        <f>Proyecciones!E102</f>
        <v>0</v>
      </c>
      <c r="E16" s="94">
        <f>Proyecciones!F102</f>
        <v>0</v>
      </c>
      <c r="F16" s="94">
        <f>Proyecciones!G102</f>
        <v>0</v>
      </c>
      <c r="G16" s="94">
        <f>Proyecciones!H102</f>
        <v>0</v>
      </c>
    </row>
    <row r="17" spans="1:7" ht="12.75">
      <c r="A17" s="89" t="s">
        <v>259</v>
      </c>
      <c r="B17" s="92"/>
      <c r="C17" s="94">
        <f>IF(ISERROR(Proyecciones!D94/Proyecciones!D70),"N.A.",Proyecciones!D94/Proyecciones!D70*360)</f>
        <v>0</v>
      </c>
      <c r="D17" s="94">
        <f>IF(ISERROR(Proyecciones!E94/Proyecciones!E70),"N.A.",Proyecciones!E94/Proyecciones!E70*360)</f>
        <v>0</v>
      </c>
      <c r="E17" s="94">
        <f>IF(ISERROR(Proyecciones!F94/Proyecciones!F70),"N.A.",Proyecciones!F94/Proyecciones!F70*360)</f>
        <v>0</v>
      </c>
      <c r="F17" s="94">
        <f>IF(ISERROR(Proyecciones!G94/Proyecciones!G70),"N.A.",Proyecciones!G94/Proyecciones!G70*360)</f>
        <v>0</v>
      </c>
      <c r="G17" s="94">
        <f>IF(ISERROR(Proyecciones!H94/Proyecciones!H70),"N.A.",Proyecciones!H94/Proyecciones!H70*360)</f>
        <v>0</v>
      </c>
    </row>
    <row r="18" spans="2:8" ht="6.75" customHeight="1" thickBot="1">
      <c r="B18" s="86"/>
      <c r="C18" s="88"/>
      <c r="D18" s="88"/>
      <c r="E18" s="88"/>
      <c r="F18" s="88"/>
      <c r="G18" s="88"/>
      <c r="H18" s="88"/>
    </row>
    <row r="19" spans="1:8" s="88" customFormat="1" ht="14.25" thickBot="1" thickTop="1">
      <c r="A19" s="154" t="s">
        <v>260</v>
      </c>
      <c r="B19" s="95"/>
      <c r="C19" s="92"/>
      <c r="D19" s="96"/>
      <c r="E19" s="96"/>
      <c r="F19" s="96"/>
      <c r="G19" s="96"/>
      <c r="H19" s="87"/>
    </row>
    <row r="20" spans="2:8" ht="6.75" customHeight="1" thickTop="1">
      <c r="B20" s="86"/>
      <c r="C20" s="88"/>
      <c r="D20" s="88"/>
      <c r="E20" s="88"/>
      <c r="F20" s="88"/>
      <c r="G20" s="88"/>
      <c r="H20" s="88"/>
    </row>
    <row r="21" spans="1:7" ht="12.75">
      <c r="A21" s="89" t="s">
        <v>261</v>
      </c>
      <c r="C21" s="97">
        <f>IF(ISERROR(Balance!C15/(Balance!C42+Balance!C43+Balance!C44)),"N.A.",Balance!C15/(Balance!C42+Balance!C43+Balance!C44))</f>
        <v>144.13796603291343</v>
      </c>
      <c r="D21" s="97">
        <f>IF(ISERROR(Balance!D15/(Balance!D42+Balance!D43+Balance!D44)),"N.A.",Balance!D15/(Balance!D42+Balance!D43+Balance!D44))</f>
        <v>2386.400907440178</v>
      </c>
      <c r="E21" s="97">
        <f>IF(ISERROR(Balance!E15/(Balance!E42+Balance!E43+Balance!E44)),"N.A.",Balance!E15/(Balance!E42+Balance!E43+Balance!E44))</f>
        <v>88.30459285962326</v>
      </c>
      <c r="F21" s="97">
        <f>IF(ISERROR(Balance!F15/(Balance!F42+Balance!F43+Balance!F44)),"N.A.",Balance!F15/(Balance!F42+Balance!F43+Balance!F44))</f>
        <v>74.17499417325189</v>
      </c>
      <c r="G21" s="97">
        <f>IF(ISERROR(Balance!G15/(Balance!G42+Balance!G43+Balance!G44)),"N.A.",Balance!G15/(Balance!G42+Balance!G43+Balance!G44))</f>
        <v>76.54142507056591</v>
      </c>
    </row>
    <row r="22" spans="1:7" ht="12.75">
      <c r="A22" s="89" t="s">
        <v>262</v>
      </c>
      <c r="C22" s="94">
        <f>IF(ISERROR((Balance!C15-SUM(Balance!B8:B10))/(Balance!C42+Balance!C43+Balance!C44)),0,(Balance!C15-SUM(Balance!B8:B10))/(Balance!C42+Balance!C43+Balance!C44))</f>
        <v>144.13796603291343</v>
      </c>
      <c r="D22" s="94">
        <f>IF(ISERROR((Balance!D15-SUM(Balance!C8:C10))/(Balance!D42+Balance!D43+Balance!D44)),0,(Balance!D15-SUM(Balance!C8:C10))/(Balance!D42+Balance!D43+Balance!D44))</f>
        <v>2386.400907440178</v>
      </c>
      <c r="E22" s="94">
        <f>IF(ISERROR((Balance!E15-SUM(Balance!D8:D10))/(Balance!E42+Balance!E43+Balance!E44)),0,(Balance!E15-SUM(Balance!D8:D10))/(Balance!E42+Balance!E43+Balance!E44))</f>
        <v>88.30459285962326</v>
      </c>
      <c r="F22" s="94">
        <f>IF(ISERROR((Balance!F15-SUM(Balance!E8:E10))/(Balance!F42+Balance!F43+Balance!F44)),0,(Balance!F15-SUM(Balance!E8:E10))/(Balance!F42+Balance!F43+Balance!F44))</f>
        <v>74.17499417325189</v>
      </c>
      <c r="G22" s="94">
        <f>IF(ISERROR((Balance!G15-SUM(Balance!F8:F10))/(Balance!G42+Balance!G43+Balance!G44)),0,(Balance!G15-SUM(Balance!F8:F10))/(Balance!G42+Balance!G43+Balance!G44))</f>
        <v>76.54142507056591</v>
      </c>
    </row>
    <row r="23" spans="1:7" ht="12.75">
      <c r="A23" s="89" t="s">
        <v>312</v>
      </c>
      <c r="C23" s="97">
        <f>IF(ISERROR(Balance!C6/'P&amp;G'!B3),"N.A.",Balance!C6/'P&amp;G'!B3*360)</f>
        <v>0</v>
      </c>
      <c r="D23" s="97">
        <f>IF(ISERROR(Balance!D6/'P&amp;G'!C3),"N.A.",Balance!D6/'P&amp;G'!C3*360)</f>
        <v>0</v>
      </c>
      <c r="E23" s="97">
        <f>IF(ISERROR(Balance!E6/'P&amp;G'!D3),"N.A.",Balance!E6/'P&amp;G'!D3*360)</f>
        <v>0</v>
      </c>
      <c r="F23" s="97">
        <f>IF(ISERROR(Balance!F6/'P&amp;G'!E3),"N.A.",Balance!F6/'P&amp;G'!E3*360)</f>
        <v>0</v>
      </c>
      <c r="G23" s="97">
        <f>IF(ISERROR(Balance!G6/'P&amp;G'!F3),"N.A.",Balance!G6/'P&amp;G'!F3*360)</f>
        <v>0</v>
      </c>
    </row>
    <row r="24" spans="1:7" ht="12.75">
      <c r="A24" s="89" t="s">
        <v>283</v>
      </c>
      <c r="C24" s="98">
        <f>IF('P&amp;G'!B3=0,"N.A.",((Balance!C8+Balance!C9+Balance!C10)/'P&amp;G'!B3)*360)</f>
        <v>0</v>
      </c>
      <c r="D24" s="98">
        <f>IF('P&amp;G'!C3=0,"N.A.",((Balance!D8+Balance!D9+Balance!D10)/'P&amp;G'!C3)*360)</f>
        <v>0</v>
      </c>
      <c r="E24" s="98">
        <f>IF('P&amp;G'!D3=0,"N.A.",((Balance!E8+Balance!E9+Balance!E10)/'P&amp;G'!D3)*360)</f>
        <v>0</v>
      </c>
      <c r="F24" s="98">
        <f>IF('P&amp;G'!E3=0,"N.A.",((Balance!F8+Balance!F9+Balance!F10)/'P&amp;G'!E3)*360)</f>
        <v>0</v>
      </c>
      <c r="G24" s="98">
        <f>IF('P&amp;G'!F3=0,"N.A.",((Balance!G8+Balance!G9+Balance!G10)/'P&amp;G'!F3)*360)</f>
        <v>0</v>
      </c>
    </row>
    <row r="25" spans="1:7" ht="12.75">
      <c r="A25" s="89" t="s">
        <v>263</v>
      </c>
      <c r="C25" s="98">
        <f>IF('P&amp;G'!B5+'P&amp;G'!B6+'P&amp;G'!B13+'P&amp;G'!B7=0,"N.A.",Balance!C42/('P&amp;G'!B5+'P&amp;G'!B6+'P&amp;G'!B13+'P&amp;G'!B7)*360)</f>
        <v>0</v>
      </c>
      <c r="D25" s="98">
        <f>IF('P&amp;G'!C5+'P&amp;G'!C6+'P&amp;G'!C13+'P&amp;G'!C7=0,"N.A.",Balance!D42/('P&amp;G'!C5+'P&amp;G'!C6+'P&amp;G'!C13+'P&amp;G'!C7)*360)</f>
        <v>0</v>
      </c>
      <c r="E25" s="98">
        <f>IF('P&amp;G'!D5+'P&amp;G'!D6+'P&amp;G'!D13+'P&amp;G'!D7=0,"N.A.",Balance!E42/('P&amp;G'!D5+'P&amp;G'!D6+'P&amp;G'!D13+'P&amp;G'!D7)*360)</f>
        <v>0</v>
      </c>
      <c r="F25" s="98">
        <f>IF('P&amp;G'!E5+'P&amp;G'!E6+'P&amp;G'!E13+'P&amp;G'!E7=0,"N.A.",Balance!F42/('P&amp;G'!E5+'P&amp;G'!E6+'P&amp;G'!E13+'P&amp;G'!E7)*360)</f>
        <v>0</v>
      </c>
      <c r="G25" s="98">
        <f>IF('P&amp;G'!F5+'P&amp;G'!F6+'P&amp;G'!F13+'P&amp;G'!F7=0,"N.A.",Balance!G42/('P&amp;G'!F5+'P&amp;G'!F6+'P&amp;G'!F13+'P&amp;G'!F7)*360)</f>
        <v>0</v>
      </c>
    </row>
    <row r="26" spans="1:7" ht="12.75">
      <c r="A26" s="89" t="s">
        <v>264</v>
      </c>
      <c r="C26" s="93">
        <f>IF(ISERROR(Balance!C48/Balance!C40),"N.A.",Balance!C48/Balance!C40)</f>
        <v>0.8204753364092073</v>
      </c>
      <c r="D26" s="93">
        <f>IF(ISERROR(Balance!D48/Balance!D40),"N.A.",Balance!D48/Balance!D40)</f>
        <v>0.842734548506216</v>
      </c>
      <c r="E26" s="93">
        <f>IF(ISERROR(Balance!E48/Balance!E40),"N.A.",Balance!E48/Balance!E40)</f>
        <v>0.5698804750788051</v>
      </c>
      <c r="F26" s="93">
        <f>IF(ISERROR(Balance!F48/Balance!F40),"N.A.",Balance!F48/Balance!F40)</f>
        <v>0.3403130264371619</v>
      </c>
      <c r="G26" s="93">
        <f>IF(ISERROR(Balance!G48/Balance!G40),"N.A.",Balance!G48/Balance!G40)</f>
        <v>0.20377678272306154</v>
      </c>
    </row>
    <row r="27" spans="1:7" ht="12.75">
      <c r="A27" s="89" t="s">
        <v>265</v>
      </c>
      <c r="C27" s="94">
        <f>IF(ISERROR(SUM(Balance!B42:B44)/Balance!B48),0,SUM(Balance!B42:B44)/Balance!B48)</f>
        <v>0</v>
      </c>
      <c r="D27" s="94">
        <f>IF(ISERROR(SUM(Balance!C42:C44)/Balance!C48),0,SUM(Balance!C42:C44)/Balance!C48)</f>
        <v>0.0070880910019965005</v>
      </c>
      <c r="E27" s="94">
        <f>IF(ISERROR(SUM(Balance!D42:D44)/Balance!D48),0,SUM(Balance!D42:D44)/Balance!D48)</f>
        <v>0.0004152992531033287</v>
      </c>
      <c r="F27" s="94">
        <f>IF(ISERROR(SUM(Balance!E42:E44)/Balance!E48),0,SUM(Balance!E42:E44)/Balance!E48)</f>
        <v>0.017734244640819307</v>
      </c>
      <c r="G27" s="94">
        <f>IF(ISERROR(SUM(Balance!F42:F44)/Balance!F48),0,SUM(Balance!F42:F44)/Balance!F48)</f>
        <v>0.037174056902721984</v>
      </c>
    </row>
    <row r="28" spans="1:7" ht="12.75">
      <c r="A28" s="89" t="s">
        <v>266</v>
      </c>
      <c r="C28" s="93" t="str">
        <f>IF('P&amp;G'!B16=0,"N.A.",('P&amp;G'!B14+'P&amp;G'!B12+'P&amp;G'!B7+'P&amp;G'!B13+'P&amp;G'!B6)/'P&amp;G'!B16)</f>
        <v>N.A.</v>
      </c>
      <c r="D28" s="93" t="str">
        <f>IF('P&amp;G'!C16=0,"N.A.",('P&amp;G'!C14+'P&amp;G'!C12+'P&amp;G'!C7+'P&amp;G'!C13+'P&amp;G'!C6)/'P&amp;G'!C16)</f>
        <v>N.A.</v>
      </c>
      <c r="E28" s="93" t="str">
        <f>IF('P&amp;G'!D16=0,"N.A.",('P&amp;G'!D14+'P&amp;G'!D12+'P&amp;G'!D7+'P&amp;G'!D13+'P&amp;G'!D6)/'P&amp;G'!D16)</f>
        <v>N.A.</v>
      </c>
      <c r="F28" s="93" t="str">
        <f>IF('P&amp;G'!E16=0,"N.A.",('P&amp;G'!E14+'P&amp;G'!E12+'P&amp;G'!E7+'P&amp;G'!E13+'P&amp;G'!E6)/'P&amp;G'!E16)</f>
        <v>N.A.</v>
      </c>
      <c r="G28" s="93" t="str">
        <f>IF('P&amp;G'!F16=0,"N.A.",('P&amp;G'!F14+'P&amp;G'!F12+'P&amp;G'!F7+'P&amp;G'!F13+'P&amp;G'!F6)/'P&amp;G'!F16)</f>
        <v>N.A.</v>
      </c>
    </row>
    <row r="29" spans="1:7" ht="12.75">
      <c r="A29" s="89" t="s">
        <v>267</v>
      </c>
      <c r="C29" s="93" t="str">
        <f>IF('Flujo de Caja'!B36+'Flujo de Caja'!B35=0,"N.A.",('P&amp;G'!B14+'P&amp;G'!B12+'P&amp;G'!B7+'P&amp;G'!B13+'P&amp;G'!B6)/-('Flujo de Caja'!B36+'Flujo de Caja'!B35))</f>
        <v>N.A.</v>
      </c>
      <c r="D29" s="93" t="str">
        <f>IF('Flujo de Caja'!C36+'Flujo de Caja'!C35=0,"N.A.",('P&amp;G'!C14+'P&amp;G'!C12+'P&amp;G'!C7+'P&amp;G'!C13+'P&amp;G'!C6)/-('Flujo de Caja'!C36+'Flujo de Caja'!C35))</f>
        <v>N.A.</v>
      </c>
      <c r="E29" s="93" t="str">
        <f>IF('Flujo de Caja'!D36+'Flujo de Caja'!D35=0,"N.A.",('P&amp;G'!D14+'P&amp;G'!D12+'P&amp;G'!D7+'P&amp;G'!D13+'P&amp;G'!D6)/-('Flujo de Caja'!D36+'Flujo de Caja'!D35))</f>
        <v>N.A.</v>
      </c>
      <c r="F29" s="93" t="str">
        <f>IF('Flujo de Caja'!E36+'Flujo de Caja'!E35=0,"N.A.",('P&amp;G'!E14+'P&amp;G'!E12+'P&amp;G'!E7+'P&amp;G'!E13+'P&amp;G'!E6)/-('Flujo de Caja'!E36+'Flujo de Caja'!E35))</f>
        <v>N.A.</v>
      </c>
      <c r="G29" s="93" t="str">
        <f>IF('Flujo de Caja'!F36+'Flujo de Caja'!F35=0,"N.A.",('P&amp;G'!F14+'P&amp;G'!F12+'P&amp;G'!F7+'P&amp;G'!F13+'P&amp;G'!F6)/-('Flujo de Caja'!F36+'Flujo de Caja'!F35))</f>
        <v>N.A.</v>
      </c>
    </row>
    <row r="30" spans="1:7" ht="12.75">
      <c r="A30" s="89" t="s">
        <v>268</v>
      </c>
      <c r="C30" s="93">
        <f>IF(ISERROR('P&amp;G'!B14/'P&amp;G'!B3),"N.A.",'P&amp;G'!B14/'P&amp;G'!B3)</f>
        <v>0.07790280924635584</v>
      </c>
      <c r="D30" s="93">
        <f>IF(ISERROR('P&amp;G'!C14/'P&amp;G'!C3),"N.A.",'P&amp;G'!C14/'P&amp;G'!C3)</f>
        <v>-0.011576006994725758</v>
      </c>
      <c r="E30" s="93">
        <f>IF(ISERROR('P&amp;G'!D14/'P&amp;G'!D3),"N.A.",'P&amp;G'!D14/'P&amp;G'!D3)</f>
        <v>0.1602271359723738</v>
      </c>
      <c r="F30" s="93">
        <f>IF(ISERROR('P&amp;G'!E14/'P&amp;G'!E3),"N.A.",'P&amp;G'!E14/'P&amp;G'!E3)</f>
        <v>0.2572996618633051</v>
      </c>
      <c r="G30" s="93">
        <f>IF(ISERROR('P&amp;G'!F14/'P&amp;G'!F3),"N.A.",'P&amp;G'!F14/'P&amp;G'!F3)</f>
        <v>0.3339817519948008</v>
      </c>
    </row>
    <row r="31" spans="1:7" ht="12.75">
      <c r="A31" s="89" t="s">
        <v>269</v>
      </c>
      <c r="C31" s="93">
        <f>IF('P&amp;G'!B3=0,"N.A.",'P&amp;G'!B26/'P&amp;G'!B3)</f>
        <v>0.07853612306355516</v>
      </c>
      <c r="D31" s="93">
        <f>IF('P&amp;G'!C3=0,"N.A.",'P&amp;G'!C26/'P&amp;G'!C3)</f>
        <v>-0.008703878272489434</v>
      </c>
      <c r="E31" s="93">
        <f>IF('P&amp;G'!D3=0,"N.A.",'P&amp;G'!D26/'P&amp;G'!D3)</f>
        <v>0.15505761554252442</v>
      </c>
      <c r="F31" s="93">
        <f>IF('P&amp;G'!E3=0,"N.A.",'P&amp;G'!E26/'P&amp;G'!E3)</f>
        <v>0.24945768496449883</v>
      </c>
      <c r="G31" s="93">
        <f>IF('P&amp;G'!F3=0,"N.A.",'P&amp;G'!F26/'P&amp;G'!F3)</f>
        <v>0.3204421601260563</v>
      </c>
    </row>
    <row r="32" spans="1:7" ht="12.75">
      <c r="A32" s="89" t="s">
        <v>270</v>
      </c>
      <c r="C32" s="93">
        <f>IF(ISERROR('P&amp;G'!B26/Balance!C55),"N.A.",'P&amp;G'!B26/Balance!C55)</f>
        <v>1</v>
      </c>
      <c r="D32" s="93">
        <f>IF(ISERROR('P&amp;G'!C26/Balance!D55),"N.A.",'P&amp;G'!C26/Balance!D55)</f>
        <v>-0.10965334482502137</v>
      </c>
      <c r="E32" s="93">
        <f>IF(ISERROR('P&amp;G'!D26/Balance!E55),"N.A.",'P&amp;G'!D26/Balance!E55)</f>
        <v>0.7287875650698812</v>
      </c>
      <c r="F32" s="93">
        <f>IF(ISERROR('P&amp;G'!E26/Balance!F55),"N.A.",'P&amp;G'!E26/Balance!F55)</f>
        <v>0.6066843140710768</v>
      </c>
      <c r="G32" s="93">
        <f>IF(ISERROR('P&amp;G'!F26/Balance!G55),"N.A.",'P&amp;G'!F26/Balance!G55)</f>
        <v>0.5050788028903438</v>
      </c>
    </row>
    <row r="33" spans="1:7" ht="12.75">
      <c r="A33" s="89" t="s">
        <v>271</v>
      </c>
      <c r="C33" s="93">
        <f>IF(ISERROR('P&amp;G'!B26/Balance!C40),"N.A.",'P&amp;G'!B26/Balance!C40)</f>
        <v>0.188037857796043</v>
      </c>
      <c r="D33" s="93">
        <f>IF(ISERROR('P&amp;G'!C26/Balance!D40),"N.A.",'P&amp;G'!C26/Balance!D40)</f>
        <v>-0.019213832512970035</v>
      </c>
      <c r="E33" s="93">
        <f>IF(ISERROR('P&amp;G'!D26/Balance!E40),"N.A.",'P&amp;G'!D26/Balance!E40)</f>
        <v>0.3267735922747215</v>
      </c>
      <c r="F33" s="93">
        <f>IF(ISERROR('P&amp;G'!E26/Balance!F40),"N.A.",'P&amp;G'!E26/Balance!F40)</f>
        <v>0.40904304450757367</v>
      </c>
      <c r="G33" s="93">
        <f>IF(ISERROR('P&amp;G'!F26/Balance!G40),"N.A.",'P&amp;G'!F26/Balance!G40)</f>
        <v>0.40762058816815394</v>
      </c>
    </row>
    <row r="34" spans="2:8" ht="6.75" customHeight="1" thickBot="1">
      <c r="B34" s="86"/>
      <c r="C34" s="88"/>
      <c r="D34" s="88"/>
      <c r="E34" s="88"/>
      <c r="F34" s="88"/>
      <c r="G34" s="88"/>
      <c r="H34" s="88"/>
    </row>
    <row r="35" spans="1:8" s="88" customFormat="1" ht="14.25" thickBot="1" thickTop="1">
      <c r="A35" s="154" t="s">
        <v>272</v>
      </c>
      <c r="B35" s="95"/>
      <c r="C35" s="92"/>
      <c r="D35" s="96"/>
      <c r="E35" s="96"/>
      <c r="F35" s="96"/>
      <c r="G35" s="96"/>
      <c r="H35" s="87"/>
    </row>
    <row r="36" spans="1:7" ht="13.5" thickTop="1">
      <c r="A36" s="82" t="s">
        <v>273</v>
      </c>
      <c r="B36" s="99"/>
      <c r="C36" s="99"/>
      <c r="D36" s="99"/>
      <c r="E36" s="99"/>
      <c r="F36" s="99"/>
      <c r="G36" s="99"/>
    </row>
    <row r="37" spans="2:8" ht="6.75" customHeight="1">
      <c r="B37" s="86"/>
      <c r="C37" s="88"/>
      <c r="D37" s="88"/>
      <c r="E37" s="88"/>
      <c r="F37" s="88"/>
      <c r="G37" s="88"/>
      <c r="H37" s="88"/>
    </row>
    <row r="38" spans="1:7" ht="12.75">
      <c r="A38" s="89" t="s">
        <v>274</v>
      </c>
      <c r="B38" s="94"/>
      <c r="C38" s="94">
        <f>'Flujo de Caja'!B10</f>
        <v>11447817.81875199</v>
      </c>
      <c r="D38" s="94">
        <f>'Flujo de Caja'!C10</f>
        <v>-1873704.0030604918</v>
      </c>
      <c r="E38" s="94">
        <f>'Flujo de Caja'!D10</f>
        <v>30140324.16285061</v>
      </c>
      <c r="F38" s="94">
        <f>'Flujo de Caja'!E10</f>
        <v>63477873.87823076</v>
      </c>
      <c r="G38" s="94">
        <f>'Flujo de Caja'!F10</f>
        <v>109186289.75492434</v>
      </c>
    </row>
    <row r="39" spans="1:7" ht="12.75">
      <c r="A39" s="89" t="s">
        <v>275</v>
      </c>
      <c r="B39" s="94">
        <f>-(Balance!B15-Balance!B6+Balance!B38+Balance!B39)</f>
        <v>-50000000</v>
      </c>
      <c r="C39" s="94">
        <f>'Flujo de Caja'!B32</f>
        <v>0</v>
      </c>
      <c r="D39" s="94">
        <f>'Flujo de Caja'!C32</f>
        <v>0</v>
      </c>
      <c r="E39" s="94">
        <f>'Flujo de Caja'!D32</f>
        <v>0</v>
      </c>
      <c r="F39" s="94">
        <f>'Flujo de Caja'!E32</f>
        <v>0</v>
      </c>
      <c r="G39" s="94">
        <f>'Flujo de Caja'!F32</f>
        <v>0</v>
      </c>
    </row>
    <row r="40" spans="1:7" ht="12.75">
      <c r="A40" s="89" t="s">
        <v>276</v>
      </c>
      <c r="B40" s="94"/>
      <c r="C40" s="94">
        <f>'Flujo de Caja'!B39</f>
        <v>0</v>
      </c>
      <c r="D40" s="94">
        <f>'Flujo de Caja'!C39</f>
        <v>0</v>
      </c>
      <c r="E40" s="94">
        <f>'Flujo de Caja'!D39</f>
        <v>0</v>
      </c>
      <c r="F40" s="94">
        <f>'Flujo de Caja'!E39</f>
        <v>0</v>
      </c>
      <c r="G40" s="94">
        <f>'Flujo de Caja'!F39</f>
        <v>0</v>
      </c>
    </row>
    <row r="41" spans="1:7" ht="12.75">
      <c r="A41" s="89" t="s">
        <v>277</v>
      </c>
      <c r="B41" s="94">
        <f aca="true" t="shared" si="0" ref="B41:G41">B38+B39</f>
        <v>-50000000</v>
      </c>
      <c r="C41" s="94">
        <f>C38+C39</f>
        <v>11447817.81875199</v>
      </c>
      <c r="D41" s="94">
        <f>D38+D39</f>
        <v>-1873704.0030604918</v>
      </c>
      <c r="E41" s="94">
        <f t="shared" si="0"/>
        <v>30140324.16285061</v>
      </c>
      <c r="F41" s="94">
        <f t="shared" si="0"/>
        <v>63477873.87823076</v>
      </c>
      <c r="G41" s="94">
        <f t="shared" si="0"/>
        <v>109186289.75492434</v>
      </c>
    </row>
    <row r="42" spans="1:7" ht="12.75">
      <c r="A42" s="89" t="s">
        <v>278</v>
      </c>
      <c r="B42" s="100"/>
      <c r="C42" s="101">
        <f>B47</f>
        <v>0.18</v>
      </c>
      <c r="D42" s="101">
        <f>C42</f>
        <v>0.18</v>
      </c>
      <c r="E42" s="101">
        <f>D42</f>
        <v>0.18</v>
      </c>
      <c r="F42" s="101">
        <f>E42</f>
        <v>0.18</v>
      </c>
      <c r="G42" s="101">
        <f>F42</f>
        <v>0.18</v>
      </c>
    </row>
    <row r="43" spans="1:7" ht="12.75">
      <c r="A43" s="89" t="s">
        <v>279</v>
      </c>
      <c r="B43" s="94">
        <f>B41</f>
        <v>-50000000</v>
      </c>
      <c r="C43" s="94">
        <f>C41/(1+C42)</f>
        <v>9701540.524366094</v>
      </c>
      <c r="D43" s="94">
        <f>D41/((1+C42)*(1+D42))</f>
        <v>-1345665.040979957</v>
      </c>
      <c r="E43" s="94">
        <f>E41/((1+C42)*(1+D42)*(1+E42))</f>
        <v>18344331.798072476</v>
      </c>
      <c r="F43" s="94">
        <f>F41/((1+C42)*(1+D42)*(1+E42)*(1+F42))</f>
        <v>32741181.16468943</v>
      </c>
      <c r="G43" s="94">
        <f>G41/((1+C42)*(1+D42)*(1+E42)*(1+F42)*(1+G42))</f>
        <v>47726333.53788673</v>
      </c>
    </row>
    <row r="44" spans="1:8" ht="6.75" customHeight="1" thickBot="1">
      <c r="A44" s="82" t="s">
        <v>280</v>
      </c>
      <c r="B44" s="86"/>
      <c r="C44" s="88"/>
      <c r="D44" s="88"/>
      <c r="E44" s="88"/>
      <c r="F44" s="88"/>
      <c r="G44" s="88"/>
      <c r="H44" s="88"/>
    </row>
    <row r="45" spans="1:8" s="88" customFormat="1" ht="14.25" thickBot="1" thickTop="1">
      <c r="A45" s="154" t="s">
        <v>281</v>
      </c>
      <c r="B45" s="95"/>
      <c r="C45" s="92"/>
      <c r="D45" s="96"/>
      <c r="E45" s="96"/>
      <c r="F45" s="96"/>
      <c r="G45" s="96"/>
      <c r="H45" s="87"/>
    </row>
    <row r="46" spans="2:8" ht="6.75" customHeight="1" thickTop="1">
      <c r="B46" s="86"/>
      <c r="C46" s="88"/>
      <c r="D46" s="88"/>
      <c r="E46" s="88"/>
      <c r="F46" s="88"/>
      <c r="G46" s="88"/>
      <c r="H46" s="88"/>
    </row>
    <row r="47" spans="1:7" s="105" customFormat="1" ht="25.5">
      <c r="A47" s="102" t="s">
        <v>306</v>
      </c>
      <c r="B47" s="103">
        <v>0.18</v>
      </c>
      <c r="C47" s="104"/>
      <c r="D47" s="104"/>
      <c r="E47" s="104"/>
      <c r="F47" s="104"/>
      <c r="G47" s="104"/>
    </row>
    <row r="48" spans="1:7" s="105" customFormat="1" ht="12.75">
      <c r="A48" s="102" t="s">
        <v>307</v>
      </c>
      <c r="B48" s="167">
        <f>IF(ISERROR(IRR(B41:G41)),"N.A.",IRR(B41:G41))</f>
        <v>0.4363957322255403</v>
      </c>
      <c r="C48" s="104"/>
      <c r="D48" s="104"/>
      <c r="E48" s="104"/>
      <c r="F48" s="104"/>
      <c r="G48" s="104"/>
    </row>
    <row r="49" spans="1:7" s="105" customFormat="1" ht="12.75">
      <c r="A49" s="102" t="s">
        <v>308</v>
      </c>
      <c r="B49" s="107">
        <f>NPV(B47,C41:G41)+B41</f>
        <v>57167721.98403478</v>
      </c>
      <c r="C49" s="104"/>
      <c r="D49" s="104"/>
      <c r="E49" s="104"/>
      <c r="F49" s="104"/>
      <c r="G49" s="104"/>
    </row>
    <row r="50" spans="1:7" s="105" customFormat="1" ht="12.75">
      <c r="A50" s="102" t="s">
        <v>305</v>
      </c>
      <c r="B50" s="108">
        <f>IF(ISERROR(-B39/AVERAGE(C41:G41)),"N.A.",-B39/AVERAGE(C41:F41))</f>
        <v>1.9381288819034566</v>
      </c>
      <c r="C50" s="104"/>
      <c r="D50" s="104"/>
      <c r="E50" s="104"/>
      <c r="F50" s="104"/>
      <c r="G50" s="104"/>
    </row>
    <row r="51" spans="1:7" s="105" customFormat="1" ht="25.5">
      <c r="A51" s="102" t="s">
        <v>303</v>
      </c>
      <c r="B51" s="109">
        <v>0</v>
      </c>
      <c r="C51" s="104"/>
      <c r="D51" s="104"/>
      <c r="E51" s="104"/>
      <c r="F51" s="104"/>
      <c r="G51" s="104"/>
    </row>
    <row r="52" spans="1:7" s="105" customFormat="1" ht="38.25">
      <c r="A52" s="102" t="s">
        <v>304</v>
      </c>
      <c r="B52" s="106">
        <f>IF(ISERROR(Balance!B48/Balance!B40),"N.A.",Balance!B48/Balance!B40)</f>
        <v>1</v>
      </c>
      <c r="C52" s="104"/>
      <c r="D52" s="104"/>
      <c r="E52" s="104"/>
      <c r="F52" s="104"/>
      <c r="G52" s="104"/>
    </row>
    <row r="53" spans="1:7" s="105" customFormat="1" ht="25.5">
      <c r="A53" s="102" t="s">
        <v>310</v>
      </c>
      <c r="B53" s="109">
        <v>0</v>
      </c>
      <c r="C53" s="104"/>
      <c r="D53" s="104"/>
      <c r="E53" s="104"/>
      <c r="F53" s="104"/>
      <c r="G53" s="104"/>
    </row>
    <row r="54" spans="1:7" s="105" customFormat="1" ht="25.5">
      <c r="A54" s="102" t="s">
        <v>309</v>
      </c>
      <c r="B54" s="109">
        <v>0</v>
      </c>
      <c r="C54" s="104" t="s">
        <v>386</v>
      </c>
      <c r="D54" s="104"/>
      <c r="E54" s="104"/>
      <c r="F54" s="104"/>
      <c r="G54" s="104"/>
    </row>
  </sheetData>
  <sheetProtection/>
  <printOptions horizontalCentered="1" verticalCentered="1"/>
  <pageMargins left="0.1968503937007874" right="0.1968503937007874" top="0.984251968503937" bottom="0.3937007874015748" header="0.5905511811023623" footer="0.5118110236220472"/>
  <pageSetup fitToHeight="1" fitToWidth="1" horizontalDpi="300" verticalDpi="300" orientation="landscape" r:id="rId1"/>
  <headerFooter alignWithMargins="0">
    <oddHeader>&amp;C&amp;"Arial,Negrita"&amp;14MODELAJE FINANCIERO
&amp;12FLUJO DE CAJA ANUAL</oddHeader>
    <oddFooter>&amp;L&amp;"Arial,Negrita"&amp;8&amp;F&amp;C&amp;"Arial,Negrita"&amp;8Página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tabColor indexed="30"/>
    <pageSetUpPr fitToPage="1"/>
  </sheetPr>
  <dimension ref="A1:I30"/>
  <sheetViews>
    <sheetView zoomScalePageLayoutView="0" workbookViewId="0" topLeftCell="A1">
      <pane xSplit="2" ySplit="2" topLeftCell="C3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C5" sqref="C5"/>
    </sheetView>
  </sheetViews>
  <sheetFormatPr defaultColWidth="11.421875" defaultRowHeight="12.75"/>
  <cols>
    <col min="1" max="1" width="2.28125" style="1" customWidth="1"/>
    <col min="2" max="2" width="22.8515625" style="1" customWidth="1"/>
    <col min="3" max="8" width="18.7109375" style="1" customWidth="1"/>
    <col min="9" max="9" width="11.421875" style="1" customWidth="1"/>
    <col min="10" max="16384" width="11.421875" style="8" customWidth="1"/>
  </cols>
  <sheetData>
    <row r="1" spans="2:8" ht="12.75">
      <c r="B1" s="10"/>
      <c r="C1" s="11">
        <v>0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</row>
    <row r="2" spans="2:8" ht="12.75">
      <c r="B2" s="12" t="s">
        <v>30</v>
      </c>
      <c r="C2" s="13"/>
      <c r="D2" s="13"/>
      <c r="E2" s="13"/>
      <c r="F2" s="13"/>
      <c r="G2" s="13"/>
      <c r="H2" s="13"/>
    </row>
    <row r="3" spans="2:8" ht="15" customHeight="1">
      <c r="B3" s="5" t="s">
        <v>121</v>
      </c>
      <c r="C3" s="14"/>
      <c r="D3" s="14">
        <f>Proyecciones!D9+Bases!$B$7</f>
        <v>0.24609999999999999</v>
      </c>
      <c r="E3" s="14">
        <f>Proyecciones!E9+Bases!$B$7</f>
        <v>0.2294</v>
      </c>
      <c r="F3" s="14">
        <f>Proyecciones!F9+Bases!$B$7</f>
        <v>0.2208</v>
      </c>
      <c r="G3" s="14">
        <f>Proyecciones!G9+Bases!$B$7</f>
        <v>0.2133</v>
      </c>
      <c r="H3" s="14">
        <f>Proyecciones!H9+Bases!$B$7</f>
        <v>0.2059</v>
      </c>
    </row>
    <row r="4" spans="2:8" ht="12.75">
      <c r="B4" s="5" t="s">
        <v>104</v>
      </c>
      <c r="C4" s="14"/>
      <c r="D4" s="14">
        <f>(1-D3/4)^(-4)-1</f>
        <v>0.28916696505033457</v>
      </c>
      <c r="E4" s="14">
        <f>(1-E3/4)^(-4)-1</f>
        <v>0.2664793486935704</v>
      </c>
      <c r="F4" s="14">
        <f>(1-F3/4)^(-4)-1</f>
        <v>0.2549905672197488</v>
      </c>
      <c r="G4" s="14">
        <f>(1-G3/4)^(-4)-1</f>
        <v>0.2450774475723847</v>
      </c>
      <c r="H4" s="14">
        <f>(1-H3/4)^(-4)-1</f>
        <v>0.23539224901635558</v>
      </c>
    </row>
    <row r="5" spans="1:9" s="16" customFormat="1" ht="12.75">
      <c r="A5" s="15"/>
      <c r="B5" s="5" t="s">
        <v>94</v>
      </c>
      <c r="C5" s="6">
        <f>Proyecciones!C189</f>
        <v>0</v>
      </c>
      <c r="D5" s="6">
        <f>Proyecciones!D189</f>
        <v>0</v>
      </c>
      <c r="E5" s="6">
        <f>Proyecciones!E189</f>
        <v>0</v>
      </c>
      <c r="F5" s="6">
        <f>Proyecciones!F189</f>
        <v>0</v>
      </c>
      <c r="G5" s="6">
        <f>Proyecciones!G189</f>
        <v>0</v>
      </c>
      <c r="H5" s="6">
        <f>Proyecciones!H189</f>
        <v>0</v>
      </c>
      <c r="I5" s="15"/>
    </row>
    <row r="6" spans="3:8" ht="12.75">
      <c r="C6" s="4"/>
      <c r="D6" s="4"/>
      <c r="E6" s="4"/>
      <c r="F6" s="4"/>
      <c r="G6" s="4"/>
      <c r="H6" s="4"/>
    </row>
    <row r="7" spans="2:8" s="1" customFormat="1" ht="12.75">
      <c r="B7" s="17" t="s">
        <v>105</v>
      </c>
      <c r="C7" s="18"/>
      <c r="D7" s="18"/>
      <c r="E7" s="18"/>
      <c r="F7" s="18"/>
      <c r="G7" s="18"/>
      <c r="H7" s="18"/>
    </row>
    <row r="8" spans="1:8" ht="12.75">
      <c r="A8" s="1">
        <v>0</v>
      </c>
      <c r="B8" s="5" t="s">
        <v>95</v>
      </c>
      <c r="C8" s="2">
        <f aca="true" t="shared" si="0" ref="C8:H8">IF($A8&gt;C$1,0,IF($A8=C$1,C$5,B8-C16))</f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</row>
    <row r="9" spans="1:8" ht="12.75">
      <c r="A9" s="1">
        <v>1</v>
      </c>
      <c r="B9" s="5" t="s">
        <v>96</v>
      </c>
      <c r="C9" s="2">
        <f aca="true" t="shared" si="1" ref="C9:H13">IF($A9&gt;C$1,0,IF($A9=C$1,C$5,B9-C17))</f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</row>
    <row r="10" spans="1:8" ht="12.75">
      <c r="A10" s="1">
        <v>2</v>
      </c>
      <c r="B10" s="5" t="s">
        <v>97</v>
      </c>
      <c r="C10" s="2">
        <f t="shared" si="1"/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</row>
    <row r="11" spans="1:8" ht="12.75">
      <c r="A11" s="1">
        <v>3</v>
      </c>
      <c r="B11" s="5" t="s">
        <v>98</v>
      </c>
      <c r="C11" s="2">
        <f t="shared" si="1"/>
        <v>0</v>
      </c>
      <c r="D11" s="2">
        <f t="shared" si="1"/>
        <v>0</v>
      </c>
      <c r="E11" s="2">
        <f t="shared" si="1"/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</row>
    <row r="12" spans="1:8" ht="12.75">
      <c r="A12" s="1">
        <v>4</v>
      </c>
      <c r="B12" s="5" t="s">
        <v>99</v>
      </c>
      <c r="C12" s="2">
        <f t="shared" si="1"/>
        <v>0</v>
      </c>
      <c r="D12" s="2">
        <f t="shared" si="1"/>
        <v>0</v>
      </c>
      <c r="E12" s="2">
        <f t="shared" si="1"/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</row>
    <row r="13" spans="1:8" ht="12.75">
      <c r="A13" s="1">
        <v>5</v>
      </c>
      <c r="B13" s="5" t="s">
        <v>100</v>
      </c>
      <c r="C13" s="2">
        <f t="shared" si="1"/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</row>
    <row r="14" spans="2:8" ht="12.75">
      <c r="B14" s="5" t="s">
        <v>101</v>
      </c>
      <c r="C14" s="2">
        <f aca="true" t="shared" si="2" ref="C14:H14">SUM(C8:C13)</f>
        <v>0</v>
      </c>
      <c r="D14" s="2">
        <f t="shared" si="2"/>
        <v>0</v>
      </c>
      <c r="E14" s="2">
        <f t="shared" si="2"/>
        <v>0</v>
      </c>
      <c r="F14" s="2">
        <f t="shared" si="2"/>
        <v>0</v>
      </c>
      <c r="G14" s="2">
        <f t="shared" si="2"/>
        <v>0</v>
      </c>
      <c r="H14" s="2">
        <f t="shared" si="2"/>
        <v>0</v>
      </c>
    </row>
    <row r="15" spans="2:8" s="1" customFormat="1" ht="12.75">
      <c r="B15" s="17" t="s">
        <v>106</v>
      </c>
      <c r="C15" s="18"/>
      <c r="D15" s="18"/>
      <c r="E15" s="18"/>
      <c r="F15" s="18"/>
      <c r="G15" s="18"/>
      <c r="H15" s="18"/>
    </row>
    <row r="16" spans="1:8" ht="12.75">
      <c r="A16" s="1">
        <v>0</v>
      </c>
      <c r="B16" s="5" t="s">
        <v>95</v>
      </c>
      <c r="C16" s="2">
        <f>IF(OR($A16+Bases!$B$5&gt;=C$1,$A16+Bases!$B$6&lt;C$1),0,HLOOKUP($A16,$B$1:$H$5,ROW($B$5),FALSE)/(Bases!$B$6-Bases!$B$5))</f>
        <v>0</v>
      </c>
      <c r="D16" s="2">
        <f>IF(OR($A16+Bases!$B$5&gt;=D$1,$A16+Bases!$B$6&lt;D$1),0,HLOOKUP($A16,$B$1:$H$5,ROW($B$5),FALSE)/(Bases!$B$6-Bases!$B$5))</f>
        <v>0</v>
      </c>
      <c r="E16" s="2">
        <f>IF(OR($A16+Bases!$B$5&gt;=E$1,$A16+Bases!$B$6&lt;E$1),0,HLOOKUP($A16,$B$1:$H$5,ROW($B$5),FALSE)/(Bases!$B$6-Bases!$B$5))</f>
        <v>0</v>
      </c>
      <c r="F16" s="2">
        <f>IF(OR($A16+Bases!$B$5&gt;=F$1,$A16+Bases!$B$6&lt;F$1),0,HLOOKUP($A16,$B$1:$H$5,ROW($B$5),FALSE)/(Bases!$B$6-Bases!$B$5))</f>
        <v>0</v>
      </c>
      <c r="G16" s="2">
        <f>IF(OR($A16+Bases!$B$5&gt;=G$1,$A16+Bases!$B$6&lt;G$1),0,HLOOKUP($A16,$B$1:$H$5,ROW($B$5),FALSE)/(Bases!$B$6-Bases!$B$5))</f>
        <v>0</v>
      </c>
      <c r="H16" s="2">
        <f>IF(OR($A16+Bases!$B$5&gt;=H$1,$A16+Bases!$B$6&lt;H$1),0,HLOOKUP($A16,$B$1:$H$5,ROW($B$5),FALSE)/(Bases!$B$6-Bases!$B$5))</f>
        <v>0</v>
      </c>
    </row>
    <row r="17" spans="1:8" ht="12.75">
      <c r="A17" s="1">
        <v>1</v>
      </c>
      <c r="B17" s="5" t="s">
        <v>96</v>
      </c>
      <c r="C17" s="2">
        <f>IF(OR($A17+Bases!$B$5&gt;=C$1,$A17+Bases!$B$6&lt;C$1),0,HLOOKUP($A17,$B$1:$H$5,ROW($B$5),FALSE)/(Bases!$B$6-Bases!$B$5))</f>
        <v>0</v>
      </c>
      <c r="D17" s="2">
        <f>IF(OR($A17+Bases!$B$5&gt;=D$1,$A17+Bases!$B$6&lt;D$1),0,HLOOKUP($A17,$B$1:$H$5,ROW($B$5),FALSE)/(Bases!$B$6-Bases!$B$5))</f>
        <v>0</v>
      </c>
      <c r="E17" s="2">
        <f>IF(OR($A17+Bases!$B$5&gt;=E$1,$A17+Bases!$B$6&lt;E$1),0,HLOOKUP($A17,$B$1:$H$5,ROW($B$5),FALSE)/(Bases!$B$6-Bases!$B$5))</f>
        <v>0</v>
      </c>
      <c r="F17" s="2">
        <f>IF(OR($A17+Bases!$B$5&gt;=F$1,$A17+Bases!$B$6&lt;F$1),0,HLOOKUP($A17,$B$1:$H$5,ROW($B$5),FALSE)/(Bases!$B$6-Bases!$B$5))</f>
        <v>0</v>
      </c>
      <c r="G17" s="2">
        <f>IF(OR($A17+Bases!$B$5&gt;=G$1,$A17+Bases!$B$6&lt;G$1),0,HLOOKUP($A17,$B$1:$H$5,ROW($B$5),FALSE)/(Bases!$B$6-Bases!$B$5))</f>
        <v>0</v>
      </c>
      <c r="H17" s="2">
        <f>IF(OR($A17+Bases!$B$5&gt;=H$1,$A17+Bases!$B$6&lt;H$1),0,HLOOKUP($A17,$B$1:$H$5,ROW($B$5),FALSE)/(Bases!$B$6-Bases!$B$5))</f>
        <v>0</v>
      </c>
    </row>
    <row r="18" spans="1:8" ht="12.75">
      <c r="A18" s="1">
        <v>2</v>
      </c>
      <c r="B18" s="5" t="s">
        <v>97</v>
      </c>
      <c r="C18" s="2">
        <f>IF(OR($A18+Bases!$B$5&gt;=C$1,$A18+Bases!$B$6&lt;C$1),0,HLOOKUP($A18,$B$1:$H$5,ROW($B$5),FALSE)/(Bases!$B$6-Bases!$B$5))</f>
        <v>0</v>
      </c>
      <c r="D18" s="2">
        <f>IF(OR($A18+Bases!$B$5&gt;=D$1,$A18+Bases!$B$6&lt;D$1),0,HLOOKUP($A18,$B$1:$H$5,ROW($B$5),FALSE)/(Bases!$B$6-Bases!$B$5))</f>
        <v>0</v>
      </c>
      <c r="E18" s="2">
        <f>IF(OR($A18+Bases!$B$5&gt;=E$1,$A18+Bases!$B$6&lt;E$1),0,HLOOKUP($A18,$B$1:$H$5,ROW($B$5),FALSE)/(Bases!$B$6-Bases!$B$5))</f>
        <v>0</v>
      </c>
      <c r="F18" s="2">
        <f>IF(OR($A18+Bases!$B$5&gt;=F$1,$A18+Bases!$B$6&lt;F$1),0,HLOOKUP($A18,$B$1:$H$5,ROW($B$5),FALSE)/(Bases!$B$6-Bases!$B$5))</f>
        <v>0</v>
      </c>
      <c r="G18" s="2">
        <f>IF(OR($A18+Bases!$B$5&gt;=G$1,$A18+Bases!$B$6&lt;G$1),0,HLOOKUP($A18,$B$1:$H$5,ROW($B$5),FALSE)/(Bases!$B$6-Bases!$B$5))</f>
        <v>0</v>
      </c>
      <c r="H18" s="2">
        <f>IF(OR($A18+Bases!$B$5&gt;=H$1,$A18+Bases!$B$6&lt;H$1),0,HLOOKUP($A18,$B$1:$H$5,ROW($B$5),FALSE)/(Bases!$B$6-Bases!$B$5))</f>
        <v>0</v>
      </c>
    </row>
    <row r="19" spans="1:8" ht="12.75">
      <c r="A19" s="1">
        <v>3</v>
      </c>
      <c r="B19" s="5" t="s">
        <v>98</v>
      </c>
      <c r="C19" s="2">
        <f>IF(OR($A19+Bases!$B$5&gt;=C$1,$A19+Bases!$B$6&lt;C$1),0,HLOOKUP($A19,$B$1:$H$5,ROW($B$5),FALSE)/(Bases!$B$6-Bases!$B$5))</f>
        <v>0</v>
      </c>
      <c r="D19" s="2">
        <f>IF(OR($A19+Bases!$B$5&gt;=D$1,$A19+Bases!$B$6&lt;D$1),0,HLOOKUP($A19,$B$1:$H$5,ROW($B$5),FALSE)/(Bases!$B$6-Bases!$B$5))</f>
        <v>0</v>
      </c>
      <c r="E19" s="2">
        <f>IF(OR($A19+Bases!$B$5&gt;=E$1,$A19+Bases!$B$6&lt;E$1),0,HLOOKUP($A19,$B$1:$H$5,ROW($B$5),FALSE)/(Bases!$B$6-Bases!$B$5))</f>
        <v>0</v>
      </c>
      <c r="F19" s="2">
        <f>IF(OR($A19+Bases!$B$5&gt;=F$1,$A19+Bases!$B$6&lt;F$1),0,HLOOKUP($A19,$B$1:$H$5,ROW($B$5),FALSE)/(Bases!$B$6-Bases!$B$5))</f>
        <v>0</v>
      </c>
      <c r="G19" s="2">
        <f>IF(OR($A19+Bases!$B$5&gt;=G$1,$A19+Bases!$B$6&lt;G$1),0,HLOOKUP($A19,$B$1:$H$5,ROW($B$5),FALSE)/(Bases!$B$6-Bases!$B$5))</f>
        <v>0</v>
      </c>
      <c r="H19" s="2">
        <f>IF(OR($A19+Bases!$B$5&gt;=H$1,$A19+Bases!$B$6&lt;H$1),0,HLOOKUP($A19,$B$1:$H$5,ROW($B$5),FALSE)/(Bases!$B$6-Bases!$B$5))</f>
        <v>0</v>
      </c>
    </row>
    <row r="20" spans="1:8" ht="12.75">
      <c r="A20" s="1">
        <v>4</v>
      </c>
      <c r="B20" s="5" t="s">
        <v>99</v>
      </c>
      <c r="C20" s="2">
        <f>IF(OR($A20+Bases!$B$5&gt;=C$1,$A20+Bases!$B$6&lt;C$1),0,HLOOKUP($A20,$B$1:$H$5,ROW($B$5),FALSE)/(Bases!$B$6-Bases!$B$5))</f>
        <v>0</v>
      </c>
      <c r="D20" s="2">
        <f>IF(OR($A20+Bases!$B$5&gt;=D$1,$A20+Bases!$B$6&lt;D$1),0,HLOOKUP($A20,$B$1:$H$5,ROW($B$5),FALSE)/(Bases!$B$6-Bases!$B$5))</f>
        <v>0</v>
      </c>
      <c r="E20" s="2">
        <f>IF(OR($A20+Bases!$B$5&gt;=E$1,$A20+Bases!$B$6&lt;E$1),0,HLOOKUP($A20,$B$1:$H$5,ROW($B$5),FALSE)/(Bases!$B$6-Bases!$B$5))</f>
        <v>0</v>
      </c>
      <c r="F20" s="2">
        <f>IF(OR($A20+Bases!$B$5&gt;=F$1,$A20+Bases!$B$6&lt;F$1),0,HLOOKUP($A20,$B$1:$H$5,ROW($B$5),FALSE)/(Bases!$B$6-Bases!$B$5))</f>
        <v>0</v>
      </c>
      <c r="G20" s="2">
        <f>IF(OR($A20+Bases!$B$5&gt;=G$1,$A20+Bases!$B$6&lt;G$1),0,HLOOKUP($A20,$B$1:$H$5,ROW($B$5),FALSE)/(Bases!$B$6-Bases!$B$5))</f>
        <v>0</v>
      </c>
      <c r="H20" s="2">
        <f>IF(OR($A20+Bases!$B$5&gt;=H$1,$A20+Bases!$B$6&lt;H$1),0,HLOOKUP($A20,$B$1:$H$5,ROW($B$5),FALSE)/(Bases!$B$6-Bases!$B$5))</f>
        <v>0</v>
      </c>
    </row>
    <row r="21" spans="1:8" ht="12.75">
      <c r="A21" s="1">
        <v>5</v>
      </c>
      <c r="B21" s="5" t="s">
        <v>100</v>
      </c>
      <c r="C21" s="2">
        <f>IF(OR($A21+Bases!$B$5&gt;=C$1,$A21+Bases!$B$6&lt;C$1),0,HLOOKUP($A21,$B$1:$H$5,ROW($B$5),FALSE)/(Bases!$B$6-Bases!$B$5))</f>
        <v>0</v>
      </c>
      <c r="D21" s="2">
        <f>IF(OR($A21+Bases!$B$5&gt;=D$1,$A21+Bases!$B$6&lt;D$1),0,HLOOKUP($A21,$B$1:$H$5,ROW($B$5),FALSE)/(Bases!$B$6-Bases!$B$5))</f>
        <v>0</v>
      </c>
      <c r="E21" s="2">
        <f>IF(OR($A21+Bases!$B$5&gt;=E$1,$A21+Bases!$B$6&lt;E$1),0,HLOOKUP($A21,$B$1:$H$5,ROW($B$5),FALSE)/(Bases!$B$6-Bases!$B$5))</f>
        <v>0</v>
      </c>
      <c r="F21" s="2">
        <f>IF(OR($A21+Bases!$B$5&gt;=F$1,$A21+Bases!$B$6&lt;F$1),0,HLOOKUP($A21,$B$1:$H$5,ROW($B$5),FALSE)/(Bases!$B$6-Bases!$B$5))</f>
        <v>0</v>
      </c>
      <c r="G21" s="2">
        <f>IF(OR($A21+Bases!$B$5&gt;=G$1,$A21+Bases!$B$6&lt;G$1),0,HLOOKUP($A21,$B$1:$H$5,ROW($B$5),FALSE)/(Bases!$B$6-Bases!$B$5))</f>
        <v>0</v>
      </c>
      <c r="H21" s="2">
        <f>IF(OR($A21+Bases!$B$5&gt;=H$1,$A21+Bases!$B$6&lt;H$1),0,HLOOKUP($A21,$B$1:$H$5,ROW($B$5),FALSE)/(Bases!$B$6-Bases!$B$5))</f>
        <v>0</v>
      </c>
    </row>
    <row r="22" spans="2:8" ht="12.75">
      <c r="B22" s="5" t="s">
        <v>102</v>
      </c>
      <c r="C22" s="2">
        <f aca="true" t="shared" si="3" ref="C22:H22">SUM(C16:C21)</f>
        <v>0</v>
      </c>
      <c r="D22" s="2">
        <f t="shared" si="3"/>
        <v>0</v>
      </c>
      <c r="E22" s="2">
        <f t="shared" si="3"/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</row>
    <row r="23" spans="2:8" ht="12.75">
      <c r="B23" s="17" t="s">
        <v>103</v>
      </c>
      <c r="C23" s="18"/>
      <c r="D23" s="18"/>
      <c r="E23" s="18"/>
      <c r="F23" s="18"/>
      <c r="G23" s="18"/>
      <c r="H23" s="18"/>
    </row>
    <row r="24" spans="1:8" ht="12.75">
      <c r="A24" s="1">
        <v>0</v>
      </c>
      <c r="B24" s="5" t="s">
        <v>95</v>
      </c>
      <c r="C24" s="2">
        <f aca="true" t="shared" si="4" ref="C24:H24">IF($A24&gt;=C$1,0,B8*C$4)</f>
        <v>0</v>
      </c>
      <c r="D24" s="2">
        <f t="shared" si="4"/>
        <v>0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4"/>
        <v>0</v>
      </c>
    </row>
    <row r="25" spans="1:8" ht="12.75">
      <c r="A25" s="1">
        <v>1</v>
      </c>
      <c r="B25" s="5" t="s">
        <v>96</v>
      </c>
      <c r="C25" s="2">
        <f aca="true" t="shared" si="5" ref="C25:H29">IF($A25&gt;=C$1,0,B9*C$4)</f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2">
        <f t="shared" si="5"/>
        <v>0</v>
      </c>
      <c r="H25" s="2">
        <f t="shared" si="5"/>
        <v>0</v>
      </c>
    </row>
    <row r="26" spans="1:8" ht="12.75">
      <c r="A26" s="1">
        <v>2</v>
      </c>
      <c r="B26" s="5" t="s">
        <v>97</v>
      </c>
      <c r="C26" s="2">
        <f t="shared" si="5"/>
        <v>0</v>
      </c>
      <c r="D26" s="2">
        <f t="shared" si="5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5"/>
        <v>0</v>
      </c>
    </row>
    <row r="27" spans="1:8" ht="12.75">
      <c r="A27" s="1">
        <v>3</v>
      </c>
      <c r="B27" s="5" t="s">
        <v>98</v>
      </c>
      <c r="C27" s="2">
        <f t="shared" si="5"/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2.75">
      <c r="A28" s="1">
        <v>4</v>
      </c>
      <c r="B28" s="5" t="s">
        <v>99</v>
      </c>
      <c r="C28" s="2">
        <f t="shared" si="5"/>
        <v>0</v>
      </c>
      <c r="D28" s="2">
        <f t="shared" si="5"/>
        <v>0</v>
      </c>
      <c r="E28" s="2">
        <f t="shared" si="5"/>
        <v>0</v>
      </c>
      <c r="F28" s="2">
        <f t="shared" si="5"/>
        <v>0</v>
      </c>
      <c r="G28" s="2">
        <f t="shared" si="5"/>
        <v>0</v>
      </c>
      <c r="H28" s="2">
        <f t="shared" si="5"/>
        <v>0</v>
      </c>
    </row>
    <row r="29" spans="1:8" ht="12.75">
      <c r="A29" s="1">
        <v>5</v>
      </c>
      <c r="B29" s="5" t="s">
        <v>100</v>
      </c>
      <c r="C29" s="2">
        <f t="shared" si="5"/>
        <v>0</v>
      </c>
      <c r="D29" s="2">
        <f t="shared" si="5"/>
        <v>0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t="shared" si="5"/>
        <v>0</v>
      </c>
    </row>
    <row r="30" spans="2:8" ht="12.75">
      <c r="B30" s="5" t="s">
        <v>103</v>
      </c>
      <c r="C30" s="3">
        <f aca="true" t="shared" si="6" ref="C30:H30">SUM(C24:C29)</f>
        <v>0</v>
      </c>
      <c r="D30" s="3">
        <f t="shared" si="6"/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3">
        <f t="shared" si="6"/>
        <v>0</v>
      </c>
    </row>
  </sheetData>
  <sheetProtection/>
  <printOptions gridLines="1" horizontalCentered="1" verticalCentered="1"/>
  <pageMargins left="0.1968503937007874" right="0.1968503937007874" top="0.984251968503937" bottom="0.3937007874015748" header="0.5905511811023623" footer="0.5118110236220472"/>
  <pageSetup fitToHeight="1" fitToWidth="1" horizontalDpi="300" verticalDpi="300" orientation="landscape" scale="94" r:id="rId1"/>
  <headerFooter alignWithMargins="0">
    <oddHeader>&amp;C&amp;"Arial,Negrita"&amp;14MODELAJE FINANCIERO
&amp;12MODELO ANUAL OBLIGACIONES FINANCIERAS&amp;"Arial,Normal"&amp;10
</oddHeader>
    <oddFooter>&amp;L&amp;"Arial,Negrita"&amp;8&amp;F&amp;C&amp;"Arial,Negrita"&amp;8Página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30"/>
  </sheetPr>
  <dimension ref="A1:G17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11.421875" defaultRowHeight="12.75"/>
  <cols>
    <col min="1" max="1" width="2.7109375" style="8" customWidth="1"/>
    <col min="2" max="2" width="35.421875" style="1" customWidth="1"/>
    <col min="3" max="4" width="19.28125" style="1" customWidth="1"/>
    <col min="5" max="7" width="18.28125" style="1" customWidth="1"/>
    <col min="8" max="8" width="15.28125" style="8" customWidth="1"/>
    <col min="9" max="16384" width="11.421875" style="8" customWidth="1"/>
  </cols>
  <sheetData>
    <row r="1" spans="2:7" ht="12.75">
      <c r="B1" s="10"/>
      <c r="C1" s="11">
        <v>1</v>
      </c>
      <c r="D1" s="11">
        <v>2</v>
      </c>
      <c r="E1" s="11">
        <v>3</v>
      </c>
      <c r="F1" s="11">
        <v>4</v>
      </c>
      <c r="G1" s="11">
        <v>5</v>
      </c>
    </row>
    <row r="2" spans="2:7" ht="12.75">
      <c r="B2" s="12" t="s">
        <v>107</v>
      </c>
      <c r="C2" s="13"/>
      <c r="D2" s="13"/>
      <c r="E2" s="13"/>
      <c r="F2" s="13"/>
      <c r="G2" s="13"/>
    </row>
    <row r="3" spans="2:7" ht="12.75">
      <c r="B3" s="26" t="s">
        <v>128</v>
      </c>
      <c r="C3" s="6">
        <f>Proyecciones!D163</f>
        <v>0</v>
      </c>
      <c r="D3" s="6">
        <f>Proyecciones!E163</f>
        <v>0</v>
      </c>
      <c r="E3" s="6">
        <f>Proyecciones!F163</f>
        <v>0</v>
      </c>
      <c r="F3" s="6">
        <f>Proyecciones!G163</f>
        <v>0</v>
      </c>
      <c r="G3" s="6">
        <f>Proyecciones!H163</f>
        <v>0</v>
      </c>
    </row>
    <row r="4" spans="2:7" s="9" customFormat="1" ht="12.75">
      <c r="B4" s="17" t="s">
        <v>14</v>
      </c>
      <c r="C4" s="20"/>
      <c r="D4" s="20"/>
      <c r="E4" s="20"/>
      <c r="F4" s="20"/>
      <c r="G4" s="20"/>
    </row>
    <row r="5" spans="1:7" ht="12.75">
      <c r="A5" s="5">
        <v>1</v>
      </c>
      <c r="B5" s="21" t="s">
        <v>108</v>
      </c>
      <c r="C5" s="2">
        <f>IF($A5&gt;C$1,0,IF($A5=C$1,C$3*Proyecciones!D$4,B12*Proyecciones!D$4))</f>
        <v>0</v>
      </c>
      <c r="D5" s="2">
        <f>IF($A5&gt;D$1,0,IF($A5=D$1,D$3*Proyecciones!E$4,C12*Proyecciones!E$4))</f>
        <v>0</v>
      </c>
      <c r="E5" s="2">
        <f>IF($A5&gt;E$1,0,IF($A5=E$1,E$3*Proyecciones!F$4,D12*Proyecciones!F$4))</f>
        <v>0</v>
      </c>
      <c r="F5" s="2">
        <f>IF($A5&gt;F$1,0,IF($A5=F$1,F$3*Proyecciones!G$4,E12*Proyecciones!G$4))</f>
        <v>0</v>
      </c>
      <c r="G5" s="2">
        <f>IF($A5&gt;G$1,0,IF($A5=G$1,G$3*Proyecciones!H$4,F12*Proyecciones!H$4))</f>
        <v>0</v>
      </c>
    </row>
    <row r="6" spans="1:7" ht="12.75">
      <c r="A6" s="5">
        <v>2</v>
      </c>
      <c r="B6" s="21" t="s">
        <v>109</v>
      </c>
      <c r="C6" s="2">
        <f>IF($A6&gt;C$1,0,IF($A6=C$1,C$3*Proyecciones!D$4,B13*Proyecciones!D$4))</f>
        <v>0</v>
      </c>
      <c r="D6" s="2">
        <f>IF($A6&gt;D$1,0,IF($A6=D$1,D$3*Proyecciones!E$4,C13*Proyecciones!E$4))</f>
        <v>0</v>
      </c>
      <c r="E6" s="2">
        <f>IF($A6&gt;E$1,0,IF($A6=E$1,E$3*Proyecciones!F$4,D13*Proyecciones!F$4))</f>
        <v>0</v>
      </c>
      <c r="F6" s="2">
        <f>IF($A6&gt;F$1,0,IF($A6=F$1,F$3*Proyecciones!G$4,E13*Proyecciones!G$4))</f>
        <v>0</v>
      </c>
      <c r="G6" s="2">
        <f>IF($A6&gt;G$1,0,IF($A6=G$1,G$3*Proyecciones!H$4,F13*Proyecciones!H$4))</f>
        <v>0</v>
      </c>
    </row>
    <row r="7" spans="1:7" ht="12.75">
      <c r="A7" s="5">
        <v>3</v>
      </c>
      <c r="B7" s="21" t="s">
        <v>110</v>
      </c>
      <c r="C7" s="2">
        <f>IF($A7&gt;C$1,0,IF($A7=C$1,C$3*Proyecciones!D$4,B14*Proyecciones!D$4))</f>
        <v>0</v>
      </c>
      <c r="D7" s="2">
        <f>IF($A7&gt;D$1,0,IF($A7=D$1,D$3*Proyecciones!E$4,C14*Proyecciones!E$4))</f>
        <v>0</v>
      </c>
      <c r="E7" s="2">
        <f>IF($A7&gt;E$1,0,IF($A7=E$1,E$3*Proyecciones!F$4,D14*Proyecciones!F$4))</f>
        <v>0</v>
      </c>
      <c r="F7" s="2">
        <f>IF($A7&gt;F$1,0,IF($A7=F$1,F$3*Proyecciones!G$4,E14*Proyecciones!G$4))</f>
        <v>0</v>
      </c>
      <c r="G7" s="2">
        <f>IF($A7&gt;G$1,0,IF($A7=G$1,G$3*Proyecciones!H$4,F14*Proyecciones!H$4))</f>
        <v>0</v>
      </c>
    </row>
    <row r="8" spans="1:7" ht="12.75">
      <c r="A8" s="5">
        <v>4</v>
      </c>
      <c r="B8" s="21" t="s">
        <v>111</v>
      </c>
      <c r="C8" s="2">
        <f>IF($A8&gt;C$1,0,IF($A8=C$1,C$3*Proyecciones!D$4,B15*Proyecciones!D$4))</f>
        <v>0</v>
      </c>
      <c r="D8" s="2">
        <f>IF($A8&gt;D$1,0,IF($A8=D$1,D$3*Proyecciones!E$4,C15*Proyecciones!E$4))</f>
        <v>0</v>
      </c>
      <c r="E8" s="2">
        <f>IF($A8&gt;E$1,0,IF($A8=E$1,E$3*Proyecciones!F$4,D15*Proyecciones!F$4))</f>
        <v>0</v>
      </c>
      <c r="F8" s="2">
        <f>IF($A8&gt;F$1,0,IF($A8=F$1,F$3*Proyecciones!G$4,E15*Proyecciones!G$4))</f>
        <v>0</v>
      </c>
      <c r="G8" s="2">
        <f>IF($A8&gt;G$1,0,IF($A8=G$1,G$3*Proyecciones!H$4,F15*Proyecciones!H$4))</f>
        <v>0</v>
      </c>
    </row>
    <row r="9" spans="1:7" ht="12.75">
      <c r="A9" s="5">
        <v>5</v>
      </c>
      <c r="B9" s="21" t="s">
        <v>112</v>
      </c>
      <c r="C9" s="2">
        <f>IF($A9&gt;C$1,0,IF($A9=C$1,C$3*Proyecciones!D$4,B16*Proyecciones!D$4))</f>
        <v>0</v>
      </c>
      <c r="D9" s="2">
        <f>IF($A9&gt;D$1,0,IF($A9=D$1,D$3*Proyecciones!E$4,C16*Proyecciones!E$4))</f>
        <v>0</v>
      </c>
      <c r="E9" s="2">
        <f>IF($A9&gt;E$1,0,IF($A9=E$1,E$3*Proyecciones!F$4,D16*Proyecciones!F$4))</f>
        <v>0</v>
      </c>
      <c r="F9" s="2">
        <f>IF($A9&gt;F$1,0,IF($A9=F$1,F$3*Proyecciones!G$4,E16*Proyecciones!G$4))</f>
        <v>0</v>
      </c>
      <c r="G9" s="2">
        <f>IF($A9&gt;G$1,0,IF($A9=G$1,G$3*Proyecciones!H$4,F16*Proyecciones!H$4))</f>
        <v>0</v>
      </c>
    </row>
    <row r="10" spans="2:7" ht="12.75">
      <c r="B10" s="5" t="s">
        <v>113</v>
      </c>
      <c r="C10" s="2">
        <f>SUM(C5:C9)</f>
        <v>0</v>
      </c>
      <c r="D10" s="2">
        <f>SUM(D5:D9)</f>
        <v>0</v>
      </c>
      <c r="E10" s="2">
        <f>SUM(E5:E9)</f>
        <v>0</v>
      </c>
      <c r="F10" s="2">
        <f>SUM(F5:F9)</f>
        <v>0</v>
      </c>
      <c r="G10" s="2">
        <f>SUM(G5:G9)</f>
        <v>0</v>
      </c>
    </row>
    <row r="11" spans="2:7" s="22" customFormat="1" ht="12.75">
      <c r="B11" s="17" t="s">
        <v>114</v>
      </c>
      <c r="C11" s="23"/>
      <c r="D11" s="23"/>
      <c r="E11" s="23"/>
      <c r="F11" s="23"/>
      <c r="G11" s="23"/>
    </row>
    <row r="12" spans="1:7" ht="12.75">
      <c r="A12" s="5">
        <v>1</v>
      </c>
      <c r="B12" s="21" t="s">
        <v>108</v>
      </c>
      <c r="C12" s="2">
        <f aca="true" t="shared" si="0" ref="C12:G16">IF($A12&gt;C$1,0,IF($A12=C$1,C$3+C5,B12+C5))</f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</row>
    <row r="13" spans="1:7" ht="12.75">
      <c r="A13" s="5">
        <v>2</v>
      </c>
      <c r="B13" s="21" t="s">
        <v>109</v>
      </c>
      <c r="C13" s="2">
        <f t="shared" si="0"/>
        <v>0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</row>
    <row r="14" spans="1:7" ht="12.75">
      <c r="A14" s="5">
        <v>3</v>
      </c>
      <c r="B14" s="21" t="s">
        <v>110</v>
      </c>
      <c r="C14" s="2">
        <f t="shared" si="0"/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</row>
    <row r="15" spans="1:7" ht="12.75">
      <c r="A15" s="5">
        <v>4</v>
      </c>
      <c r="B15" s="21" t="s">
        <v>111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</row>
    <row r="16" spans="1:7" ht="12.75">
      <c r="A16" s="5">
        <v>5</v>
      </c>
      <c r="B16" s="21" t="s">
        <v>112</v>
      </c>
      <c r="C16" s="2">
        <f t="shared" si="0"/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</row>
    <row r="17" spans="2:7" ht="12.75">
      <c r="B17" s="5" t="s">
        <v>115</v>
      </c>
      <c r="C17" s="3">
        <f>SUM(C12:C16)</f>
        <v>0</v>
      </c>
      <c r="D17" s="3">
        <f>SUM(D12:D16)</f>
        <v>0</v>
      </c>
      <c r="E17" s="3">
        <f>SUM(E12:E16)</f>
        <v>0</v>
      </c>
      <c r="F17" s="3">
        <f>SUM(F12:F16)</f>
        <v>0</v>
      </c>
      <c r="G17" s="3">
        <f>SUM(G12:G16)</f>
        <v>0</v>
      </c>
    </row>
  </sheetData>
  <sheetProtection/>
  <printOptions gridLines="1" horizontalCentered="1" verticalCentered="1"/>
  <pageMargins left="0.1968503937007874" right="0.1968503937007874" top="0.984251968503937" bottom="0.3937007874015748" header="0.5905511811023623" footer="0.5118110236220472"/>
  <pageSetup horizontalDpi="300" verticalDpi="300" orientation="landscape" scale="85" r:id="rId1"/>
  <headerFooter alignWithMargins="0">
    <oddHeader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30"/>
  </sheetPr>
  <dimension ref="A1:H38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11.421875" defaultRowHeight="12.75"/>
  <cols>
    <col min="1" max="1" width="2.7109375" style="8" customWidth="1"/>
    <col min="2" max="2" width="35.421875" style="1" customWidth="1"/>
    <col min="3" max="4" width="19.28125" style="1" customWidth="1"/>
    <col min="5" max="7" width="18.28125" style="1" customWidth="1"/>
    <col min="8" max="8" width="15.28125" style="8" customWidth="1"/>
    <col min="9" max="16384" width="11.421875" style="8" customWidth="1"/>
  </cols>
  <sheetData>
    <row r="1" spans="2:7" ht="12.75">
      <c r="B1" s="10"/>
      <c r="C1" s="11">
        <v>1</v>
      </c>
      <c r="D1" s="11">
        <v>2</v>
      </c>
      <c r="E1" s="11">
        <v>3</v>
      </c>
      <c r="F1" s="11">
        <v>4</v>
      </c>
      <c r="G1" s="11">
        <v>5</v>
      </c>
    </row>
    <row r="2" spans="2:7" ht="12.75">
      <c r="B2" s="12" t="s">
        <v>107</v>
      </c>
      <c r="C2" s="13"/>
      <c r="D2" s="13"/>
      <c r="E2" s="13"/>
      <c r="F2" s="13"/>
      <c r="G2" s="13"/>
    </row>
    <row r="3" spans="2:7" ht="12.75">
      <c r="B3" s="26" t="s">
        <v>186</v>
      </c>
      <c r="C3" s="6">
        <f>Proyecciones!D164</f>
        <v>0</v>
      </c>
      <c r="D3" s="6">
        <f>Proyecciones!E164</f>
        <v>0</v>
      </c>
      <c r="E3" s="6">
        <f>Proyecciones!F164</f>
        <v>0</v>
      </c>
      <c r="F3" s="6">
        <f>Proyecciones!G164</f>
        <v>0</v>
      </c>
      <c r="G3" s="6">
        <f>Proyecciones!H164</f>
        <v>0</v>
      </c>
    </row>
    <row r="4" spans="2:7" s="9" customFormat="1" ht="12.75">
      <c r="B4" s="17" t="s">
        <v>14</v>
      </c>
      <c r="C4" s="20"/>
      <c r="D4" s="20"/>
      <c r="E4" s="20"/>
      <c r="F4" s="20"/>
      <c r="G4" s="20"/>
    </row>
    <row r="5" spans="1:7" ht="12.75">
      <c r="A5" s="5">
        <v>1</v>
      </c>
      <c r="B5" s="21" t="s">
        <v>108</v>
      </c>
      <c r="C5" s="2">
        <f>IF($A5&gt;C$1,0,IF($A5=C$1,C$3*Proyecciones!D$4,B12*Proyecciones!D$4))</f>
        <v>0</v>
      </c>
      <c r="D5" s="2">
        <f>IF($A5&gt;D$1,0,IF($A5=D$1,D$3*Proyecciones!E$4,C12*Proyecciones!E$4))</f>
        <v>0</v>
      </c>
      <c r="E5" s="2">
        <f>IF($A5&gt;E$1,0,IF($A5=E$1,E$3*Proyecciones!F$4,D12*Proyecciones!F$4))</f>
        <v>0</v>
      </c>
      <c r="F5" s="2">
        <f>IF($A5&gt;F$1,0,IF($A5=F$1,F$3*Proyecciones!G$4,E12*Proyecciones!G$4))</f>
        <v>0</v>
      </c>
      <c r="G5" s="2">
        <f>IF($A5&gt;G$1,0,IF($A5=G$1,G$3*Proyecciones!H$4,F12*Proyecciones!H$4))</f>
        <v>0</v>
      </c>
    </row>
    <row r="6" spans="1:7" ht="12.75">
      <c r="A6" s="5">
        <v>2</v>
      </c>
      <c r="B6" s="21" t="s">
        <v>109</v>
      </c>
      <c r="C6" s="2">
        <f>IF($A6&gt;C$1,0,IF($A6=C$1,C$3*Proyecciones!D$4,B13*Proyecciones!D$4))</f>
        <v>0</v>
      </c>
      <c r="D6" s="2">
        <f>IF($A6&gt;D$1,0,IF($A6=D$1,D$3*Proyecciones!E$4,C13*Proyecciones!E$4))</f>
        <v>0</v>
      </c>
      <c r="E6" s="2">
        <f>IF($A6&gt;E$1,0,IF($A6=E$1,E$3*Proyecciones!F$4,D13*Proyecciones!F$4))</f>
        <v>0</v>
      </c>
      <c r="F6" s="2">
        <f>IF($A6&gt;F$1,0,IF($A6=F$1,F$3*Proyecciones!G$4,E13*Proyecciones!G$4))</f>
        <v>0</v>
      </c>
      <c r="G6" s="2">
        <f>IF($A6&gt;G$1,0,IF($A6=G$1,G$3*Proyecciones!H$4,F13*Proyecciones!H$4))</f>
        <v>0</v>
      </c>
    </row>
    <row r="7" spans="1:7" ht="12.75">
      <c r="A7" s="5">
        <v>3</v>
      </c>
      <c r="B7" s="21" t="s">
        <v>110</v>
      </c>
      <c r="C7" s="2">
        <f>IF($A7&gt;C$1,0,IF($A7=C$1,C$3*Proyecciones!D$4,B14*Proyecciones!D$4))</f>
        <v>0</v>
      </c>
      <c r="D7" s="2">
        <f>IF($A7&gt;D$1,0,IF($A7=D$1,D$3*Proyecciones!E$4,C14*Proyecciones!E$4))</f>
        <v>0</v>
      </c>
      <c r="E7" s="2">
        <f>IF($A7&gt;E$1,0,IF($A7=E$1,E$3*Proyecciones!F$4,D14*Proyecciones!F$4))</f>
        <v>0</v>
      </c>
      <c r="F7" s="2">
        <f>IF($A7&gt;F$1,0,IF($A7=F$1,F$3*Proyecciones!G$4,E14*Proyecciones!G$4))</f>
        <v>0</v>
      </c>
      <c r="G7" s="2">
        <f>IF($A7&gt;G$1,0,IF($A7=G$1,G$3*Proyecciones!H$4,F14*Proyecciones!H$4))</f>
        <v>0</v>
      </c>
    </row>
    <row r="8" spans="1:7" ht="12.75">
      <c r="A8" s="5">
        <v>4</v>
      </c>
      <c r="B8" s="21" t="s">
        <v>111</v>
      </c>
      <c r="C8" s="2">
        <f>IF($A8&gt;C$1,0,IF($A8=C$1,C$3*Proyecciones!D$4,B15*Proyecciones!D$4))</f>
        <v>0</v>
      </c>
      <c r="D8" s="2">
        <f>IF($A8&gt;D$1,0,IF($A8=D$1,D$3*Proyecciones!E$4,C15*Proyecciones!E$4))</f>
        <v>0</v>
      </c>
      <c r="E8" s="2">
        <f>IF($A8&gt;E$1,0,IF($A8=E$1,E$3*Proyecciones!F$4,D15*Proyecciones!F$4))</f>
        <v>0</v>
      </c>
      <c r="F8" s="2">
        <f>IF($A8&gt;F$1,0,IF($A8=F$1,F$3*Proyecciones!G$4,E15*Proyecciones!G$4))</f>
        <v>0</v>
      </c>
      <c r="G8" s="2">
        <f>IF($A8&gt;G$1,0,IF($A8=G$1,G$3*Proyecciones!H$4,F15*Proyecciones!H$4))</f>
        <v>0</v>
      </c>
    </row>
    <row r="9" spans="1:7" ht="12.75">
      <c r="A9" s="5">
        <v>5</v>
      </c>
      <c r="B9" s="21" t="s">
        <v>112</v>
      </c>
      <c r="C9" s="2">
        <f>IF($A9&gt;C$1,0,IF($A9=C$1,C$3*Proyecciones!D$4,B16*Proyecciones!D$4))</f>
        <v>0</v>
      </c>
      <c r="D9" s="2">
        <f>IF($A9&gt;D$1,0,IF($A9=D$1,D$3*Proyecciones!E$4,C16*Proyecciones!E$4))</f>
        <v>0</v>
      </c>
      <c r="E9" s="2">
        <f>IF($A9&gt;E$1,0,IF($A9=E$1,E$3*Proyecciones!F$4,D16*Proyecciones!F$4))</f>
        <v>0</v>
      </c>
      <c r="F9" s="2">
        <f>IF($A9&gt;F$1,0,IF($A9=F$1,F$3*Proyecciones!G$4,E16*Proyecciones!G$4))</f>
        <v>0</v>
      </c>
      <c r="G9" s="2">
        <f>IF($A9&gt;G$1,0,IF($A9=G$1,G$3*Proyecciones!H$4,F16*Proyecciones!H$4))</f>
        <v>0</v>
      </c>
    </row>
    <row r="10" spans="2:7" ht="12.75">
      <c r="B10" s="5" t="s">
        <v>113</v>
      </c>
      <c r="C10" s="2">
        <f>SUM(C5:C9)</f>
        <v>0</v>
      </c>
      <c r="D10" s="2">
        <f>SUM(D5:D9)</f>
        <v>0</v>
      </c>
      <c r="E10" s="2">
        <f>SUM(E5:E9)</f>
        <v>0</v>
      </c>
      <c r="F10" s="2">
        <f>SUM(F5:F9)</f>
        <v>0</v>
      </c>
      <c r="G10" s="2">
        <f>SUM(G5:G9)</f>
        <v>0</v>
      </c>
    </row>
    <row r="11" spans="2:7" s="22" customFormat="1" ht="12.75">
      <c r="B11" s="17" t="s">
        <v>114</v>
      </c>
      <c r="C11" s="23"/>
      <c r="D11" s="23"/>
      <c r="E11" s="23"/>
      <c r="F11" s="23"/>
      <c r="G11" s="23"/>
    </row>
    <row r="12" spans="1:7" ht="12.75">
      <c r="A12" s="5">
        <v>1</v>
      </c>
      <c r="B12" s="21" t="s">
        <v>108</v>
      </c>
      <c r="C12" s="2">
        <f aca="true" t="shared" si="0" ref="C12:G16">IF($A12&gt;C$1,0,IF($A12=C$1,C$3+C5,B12+C5))</f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</row>
    <row r="13" spans="1:7" ht="12.75">
      <c r="A13" s="5">
        <v>2</v>
      </c>
      <c r="B13" s="21" t="s">
        <v>109</v>
      </c>
      <c r="C13" s="2">
        <f t="shared" si="0"/>
        <v>0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</row>
    <row r="14" spans="1:7" ht="12.75">
      <c r="A14" s="5">
        <v>3</v>
      </c>
      <c r="B14" s="21" t="s">
        <v>110</v>
      </c>
      <c r="C14" s="2">
        <f t="shared" si="0"/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</row>
    <row r="15" spans="1:7" ht="12.75">
      <c r="A15" s="5">
        <v>4</v>
      </c>
      <c r="B15" s="21" t="s">
        <v>111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</row>
    <row r="16" spans="1:7" ht="12.75">
      <c r="A16" s="5">
        <v>5</v>
      </c>
      <c r="B16" s="21" t="s">
        <v>112</v>
      </c>
      <c r="C16" s="2">
        <f t="shared" si="0"/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</row>
    <row r="17" spans="2:7" ht="12.75">
      <c r="B17" s="5" t="s">
        <v>115</v>
      </c>
      <c r="C17" s="3">
        <f>SUM(C12:C16)</f>
        <v>0</v>
      </c>
      <c r="D17" s="3">
        <f>SUM(D12:D16)</f>
        <v>0</v>
      </c>
      <c r="E17" s="3">
        <f>SUM(E12:E16)</f>
        <v>0</v>
      </c>
      <c r="F17" s="3">
        <f>SUM(F12:F16)</f>
        <v>0</v>
      </c>
      <c r="G17" s="3">
        <f>SUM(G12:G16)</f>
        <v>0</v>
      </c>
    </row>
    <row r="18" spans="2:7" s="22" customFormat="1" ht="13.5" customHeight="1">
      <c r="B18" s="17" t="s">
        <v>22</v>
      </c>
      <c r="C18" s="23"/>
      <c r="D18" s="23"/>
      <c r="E18" s="23"/>
      <c r="F18" s="23"/>
      <c r="G18" s="23"/>
    </row>
    <row r="19" spans="1:7" ht="12.75">
      <c r="A19" s="5">
        <v>1</v>
      </c>
      <c r="B19" s="21" t="s">
        <v>108</v>
      </c>
      <c r="C19" s="2">
        <f>IF(OR($A19&gt;C$1,Bases!$B$11+$A19-1&lt;C$1),0,C12/Bases!$B$11)</f>
        <v>0</v>
      </c>
      <c r="D19" s="2">
        <f>IF(OR($A19&gt;D$1,Bases!$B$11+$A19-1&lt;D$1),0,D12/Bases!$B$11)</f>
        <v>0</v>
      </c>
      <c r="E19" s="2">
        <f>IF(OR($A19&gt;E$1,Bases!$B$11+$A19-1&lt;E$1),0,E12/Bases!$B$11)</f>
        <v>0</v>
      </c>
      <c r="F19" s="2">
        <f>IF(OR($A19&gt;F$1,Bases!$B$11+$A19-1&lt;F$1),0,F12/Bases!$B$11)</f>
        <v>0</v>
      </c>
      <c r="G19" s="2">
        <f>IF(OR($A19&gt;G$1,Bases!$B$11+$A19-1&lt;G$1),0,G12/Bases!$B$11)</f>
        <v>0</v>
      </c>
    </row>
    <row r="20" spans="1:7" ht="12.75">
      <c r="A20" s="5">
        <v>2</v>
      </c>
      <c r="B20" s="21" t="s">
        <v>109</v>
      </c>
      <c r="C20" s="2">
        <f>IF(OR($A20&gt;C$1,Bases!$B$11+$A20-1&lt;C$1),0,C13/Bases!$B$11)</f>
        <v>0</v>
      </c>
      <c r="D20" s="2">
        <f>IF(OR($A20&gt;D$1,Bases!$B$11+$A20-1&lt;D$1),0,D13/Bases!$B$11)</f>
        <v>0</v>
      </c>
      <c r="E20" s="2">
        <f>IF(OR($A20&gt;E$1,Bases!$B$11+$A20-1&lt;E$1),0,E13/Bases!$B$11)</f>
        <v>0</v>
      </c>
      <c r="F20" s="2">
        <f>IF(OR($A20&gt;F$1,Bases!$B$11+$A20-1&lt;F$1),0,F13/Bases!$B$11)</f>
        <v>0</v>
      </c>
      <c r="G20" s="2">
        <f>IF(OR($A20&gt;G$1,Bases!$B$11+$A20-1&lt;G$1),0,G13/Bases!$B$11)</f>
        <v>0</v>
      </c>
    </row>
    <row r="21" spans="1:7" ht="12.75">
      <c r="A21" s="5">
        <v>3</v>
      </c>
      <c r="B21" s="21" t="s">
        <v>110</v>
      </c>
      <c r="C21" s="2">
        <f>IF(OR($A21&gt;C$1,Bases!$B$11+$A21-1&lt;C$1),0,C14/Bases!$B$11)</f>
        <v>0</v>
      </c>
      <c r="D21" s="2">
        <f>IF(OR($A21&gt;D$1,Bases!$B$11+$A21-1&lt;D$1),0,D14/Bases!$B$11)</f>
        <v>0</v>
      </c>
      <c r="E21" s="2">
        <f>IF(OR($A21&gt;E$1,Bases!$B$11+$A21-1&lt;E$1),0,E14/Bases!$B$11)</f>
        <v>0</v>
      </c>
      <c r="F21" s="2">
        <f>IF(OR($A21&gt;F$1,Bases!$B$11+$A21-1&lt;F$1),0,F14/Bases!$B$11)</f>
        <v>0</v>
      </c>
      <c r="G21" s="2">
        <f>IF(OR($A21&gt;G$1,Bases!$B$11+$A21-1&lt;G$1),0,G14/Bases!$B$11)</f>
        <v>0</v>
      </c>
    </row>
    <row r="22" spans="1:7" ht="12.75">
      <c r="A22" s="5">
        <v>4</v>
      </c>
      <c r="B22" s="21" t="s">
        <v>111</v>
      </c>
      <c r="C22" s="2">
        <f>IF(OR($A22&gt;C$1,Bases!$B$11+$A22-1&lt;C$1),0,C15/Bases!$B$11)</f>
        <v>0</v>
      </c>
      <c r="D22" s="2">
        <f>IF(OR($A22&gt;D$1,Bases!$B$11+$A22-1&lt;D$1),0,D15/Bases!$B$11)</f>
        <v>0</v>
      </c>
      <c r="E22" s="2">
        <f>IF(OR($A22&gt;E$1,Bases!$B$11+$A22-1&lt;E$1),0,E15/Bases!$B$11)</f>
        <v>0</v>
      </c>
      <c r="F22" s="2">
        <f>IF(OR($A22&gt;F$1,Bases!$B$11+$A22-1&lt;F$1),0,F15/Bases!$B$11)</f>
        <v>0</v>
      </c>
      <c r="G22" s="2">
        <f>IF(OR($A22&gt;G$1,Bases!$B$11+$A22-1&lt;G$1),0,G15/Bases!$B$11)</f>
        <v>0</v>
      </c>
    </row>
    <row r="23" spans="1:7" ht="12.75">
      <c r="A23" s="5">
        <v>5</v>
      </c>
      <c r="B23" s="21" t="s">
        <v>112</v>
      </c>
      <c r="C23" s="2">
        <f>IF(OR($A23&gt;C$1,Bases!$B$11+$A23-1&lt;C$1),0,C16/Bases!$B$11)</f>
        <v>0</v>
      </c>
      <c r="D23" s="2">
        <f>IF(OR($A23&gt;D$1,Bases!$B$11+$A23-1&lt;D$1),0,D16/Bases!$B$11)</f>
        <v>0</v>
      </c>
      <c r="E23" s="2">
        <f>IF(OR($A23&gt;E$1,Bases!$B$11+$A23-1&lt;E$1),0,E16/Bases!$B$11)</f>
        <v>0</v>
      </c>
      <c r="F23" s="2">
        <f>IF(OR($A23&gt;F$1,Bases!$B$11+$A23-1&lt;F$1),0,F16/Bases!$B$11)</f>
        <v>0</v>
      </c>
      <c r="G23" s="2">
        <f>IF(OR($A23&gt;G$1,Bases!$B$11+$A23-1&lt;G$1),0,G16/Bases!$B$11)</f>
        <v>0</v>
      </c>
    </row>
    <row r="24" spans="2:7" ht="12.75">
      <c r="B24" s="5" t="s">
        <v>116</v>
      </c>
      <c r="C24" s="3">
        <f>SUM(C19:C23)</f>
        <v>0</v>
      </c>
      <c r="D24" s="3">
        <f>SUM(D19:D23)</f>
        <v>0</v>
      </c>
      <c r="E24" s="3">
        <f>SUM(E19:E23)</f>
        <v>0</v>
      </c>
      <c r="F24" s="3">
        <f>SUM(F19:F23)</f>
        <v>0</v>
      </c>
      <c r="G24" s="3">
        <f>SUM(G19:G23)</f>
        <v>0</v>
      </c>
    </row>
    <row r="25" spans="2:7" s="22" customFormat="1" ht="13.5" customHeight="1">
      <c r="B25" s="17" t="s">
        <v>117</v>
      </c>
      <c r="C25" s="23"/>
      <c r="D25" s="23"/>
      <c r="E25" s="23"/>
      <c r="F25" s="23"/>
      <c r="G25" s="23"/>
    </row>
    <row r="26" spans="1:7" ht="12.75">
      <c r="A26" s="5">
        <v>1</v>
      </c>
      <c r="B26" s="24" t="s">
        <v>108</v>
      </c>
      <c r="C26" s="2">
        <f>IF($A26&gt;=C$1,0,B33*Proyecciones!D$4)</f>
        <v>0</v>
      </c>
      <c r="D26" s="2">
        <f>IF($A26&gt;=D$1,0,C33*Proyecciones!E$4)</f>
        <v>0</v>
      </c>
      <c r="E26" s="2">
        <f>IF($A26&gt;=E$1,0,D33*Proyecciones!F$4)</f>
        <v>0</v>
      </c>
      <c r="F26" s="2">
        <f>IF($A26&gt;=F$1,0,E33*Proyecciones!G$4)</f>
        <v>0</v>
      </c>
      <c r="G26" s="2">
        <f>IF($A26&gt;=G$1,0,F33*Proyecciones!H$4)</f>
        <v>0</v>
      </c>
    </row>
    <row r="27" spans="1:7" ht="12.75">
      <c r="A27" s="5">
        <v>2</v>
      </c>
      <c r="B27" s="24" t="s">
        <v>109</v>
      </c>
      <c r="C27" s="2">
        <f>IF($A27&gt;=C$1,0,B34*Proyecciones!D$4)</f>
        <v>0</v>
      </c>
      <c r="D27" s="2">
        <f>IF($A27&gt;=D$1,0,C34*Proyecciones!E$4)</f>
        <v>0</v>
      </c>
      <c r="E27" s="2">
        <f>IF($A27&gt;=E$1,0,D34*Proyecciones!F$4)</f>
        <v>0</v>
      </c>
      <c r="F27" s="2">
        <f>IF($A27&gt;=F$1,0,E34*Proyecciones!G$4)</f>
        <v>0</v>
      </c>
      <c r="G27" s="2">
        <f>IF($A27&gt;=G$1,0,F34*Proyecciones!H$4)</f>
        <v>0</v>
      </c>
    </row>
    <row r="28" spans="1:7" ht="12.75">
      <c r="A28" s="5">
        <v>3</v>
      </c>
      <c r="B28" s="24" t="s">
        <v>110</v>
      </c>
      <c r="C28" s="2">
        <f>IF($A28&gt;=C$1,0,B35*Proyecciones!D$4)</f>
        <v>0</v>
      </c>
      <c r="D28" s="2">
        <f>IF($A28&gt;=D$1,0,C35*Proyecciones!E$4)</f>
        <v>0</v>
      </c>
      <c r="E28" s="2">
        <f>IF($A28&gt;=E$1,0,D35*Proyecciones!F$4)</f>
        <v>0</v>
      </c>
      <c r="F28" s="2">
        <f>IF($A28&gt;=F$1,0,E35*Proyecciones!G$4)</f>
        <v>0</v>
      </c>
      <c r="G28" s="2">
        <f>IF($A28&gt;=G$1,0,F35*Proyecciones!H$4)</f>
        <v>0</v>
      </c>
    </row>
    <row r="29" spans="1:7" ht="12.75">
      <c r="A29" s="5">
        <v>4</v>
      </c>
      <c r="B29" s="24" t="s">
        <v>111</v>
      </c>
      <c r="C29" s="2">
        <f>IF($A29&gt;=C$1,0,B36*Proyecciones!D$4)</f>
        <v>0</v>
      </c>
      <c r="D29" s="2">
        <f>IF($A29&gt;=D$1,0,C36*Proyecciones!E$4)</f>
        <v>0</v>
      </c>
      <c r="E29" s="2">
        <f>IF($A29&gt;=E$1,0,D36*Proyecciones!F$4)</f>
        <v>0</v>
      </c>
      <c r="F29" s="2">
        <f>IF($A29&gt;=F$1,0,E36*Proyecciones!G$4)</f>
        <v>0</v>
      </c>
      <c r="G29" s="2">
        <f>IF($A29&gt;=G$1,0,F36*Proyecciones!H$4)</f>
        <v>0</v>
      </c>
    </row>
    <row r="30" spans="1:7" ht="12.75">
      <c r="A30" s="5">
        <v>5</v>
      </c>
      <c r="B30" s="24" t="s">
        <v>112</v>
      </c>
      <c r="C30" s="2">
        <f>IF($A30&gt;=C$1,0,B37*Proyecciones!D$4)</f>
        <v>0</v>
      </c>
      <c r="D30" s="2">
        <f>IF($A30&gt;=D$1,0,C37*Proyecciones!E$4)</f>
        <v>0</v>
      </c>
      <c r="E30" s="2">
        <f>IF($A30&gt;=E$1,0,D37*Proyecciones!F$4)</f>
        <v>0</v>
      </c>
      <c r="F30" s="2">
        <f>IF($A30&gt;=F$1,0,E37*Proyecciones!G$4)</f>
        <v>0</v>
      </c>
      <c r="G30" s="2">
        <f>IF($A30&gt;=G$1,0,F37*Proyecciones!H$4)</f>
        <v>0</v>
      </c>
    </row>
    <row r="31" spans="2:7" ht="12.75">
      <c r="B31" s="7" t="s">
        <v>118</v>
      </c>
      <c r="C31" s="2">
        <f>SUM(C26:C30)</f>
        <v>0</v>
      </c>
      <c r="D31" s="2">
        <f>SUM(D26:D30)</f>
        <v>0</v>
      </c>
      <c r="E31" s="2">
        <f>SUM(E26:E30)</f>
        <v>0</v>
      </c>
      <c r="F31" s="2">
        <f>SUM(F26:F30)</f>
        <v>0</v>
      </c>
      <c r="G31" s="2">
        <f>SUM(G26:G30)</f>
        <v>0</v>
      </c>
    </row>
    <row r="32" spans="2:7" s="22" customFormat="1" ht="13.5" customHeight="1">
      <c r="B32" s="17" t="s">
        <v>119</v>
      </c>
      <c r="C32" s="23"/>
      <c r="D32" s="23"/>
      <c r="E32" s="23"/>
      <c r="F32" s="23"/>
      <c r="G32" s="23"/>
    </row>
    <row r="33" spans="1:8" ht="12.75">
      <c r="A33" s="5">
        <v>1</v>
      </c>
      <c r="B33" s="21" t="s">
        <v>108</v>
      </c>
      <c r="C33" s="3">
        <f aca="true" t="shared" si="1" ref="C33:G37">IF($A33&gt;C$1,0,IF($A33=C$1,C19,B33+C19+C26))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25"/>
    </row>
    <row r="34" spans="1:7" ht="12.75">
      <c r="A34" s="5">
        <v>2</v>
      </c>
      <c r="B34" s="21" t="s">
        <v>109</v>
      </c>
      <c r="C34" s="3">
        <f t="shared" si="1"/>
        <v>0</v>
      </c>
      <c r="D34" s="3">
        <f t="shared" si="1"/>
        <v>0</v>
      </c>
      <c r="E34" s="3">
        <f t="shared" si="1"/>
        <v>0</v>
      </c>
      <c r="F34" s="3">
        <f t="shared" si="1"/>
        <v>0</v>
      </c>
      <c r="G34" s="3">
        <f t="shared" si="1"/>
        <v>0</v>
      </c>
    </row>
    <row r="35" spans="1:7" ht="12.75">
      <c r="A35" s="5">
        <v>3</v>
      </c>
      <c r="B35" s="21" t="s">
        <v>110</v>
      </c>
      <c r="C35" s="3">
        <f t="shared" si="1"/>
        <v>0</v>
      </c>
      <c r="D35" s="3">
        <f t="shared" si="1"/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</row>
    <row r="36" spans="1:7" ht="12.75">
      <c r="A36" s="5">
        <v>4</v>
      </c>
      <c r="B36" s="21" t="s">
        <v>111</v>
      </c>
      <c r="C36" s="3">
        <f t="shared" si="1"/>
        <v>0</v>
      </c>
      <c r="D36" s="3">
        <f t="shared" si="1"/>
        <v>0</v>
      </c>
      <c r="E36" s="3">
        <f t="shared" si="1"/>
        <v>0</v>
      </c>
      <c r="F36" s="3">
        <f t="shared" si="1"/>
        <v>0</v>
      </c>
      <c r="G36" s="3">
        <f t="shared" si="1"/>
        <v>0</v>
      </c>
    </row>
    <row r="37" spans="1:7" ht="12.75">
      <c r="A37" s="5">
        <v>5</v>
      </c>
      <c r="B37" s="21" t="s">
        <v>112</v>
      </c>
      <c r="C37" s="3">
        <f t="shared" si="1"/>
        <v>0</v>
      </c>
      <c r="D37" s="3">
        <f t="shared" si="1"/>
        <v>0</v>
      </c>
      <c r="E37" s="3">
        <f t="shared" si="1"/>
        <v>0</v>
      </c>
      <c r="F37" s="3">
        <f t="shared" si="1"/>
        <v>0</v>
      </c>
      <c r="G37" s="3">
        <f t="shared" si="1"/>
        <v>0</v>
      </c>
    </row>
    <row r="38" spans="2:7" ht="12.75">
      <c r="B38" s="5" t="s">
        <v>120</v>
      </c>
      <c r="C38" s="3">
        <f>SUM(C33:C37)</f>
        <v>0</v>
      </c>
      <c r="D38" s="3">
        <f>SUM(D33:D37)</f>
        <v>0</v>
      </c>
      <c r="E38" s="3">
        <f>SUM(E33:E37)</f>
        <v>0</v>
      </c>
      <c r="F38" s="3">
        <f>SUM(F33:F37)</f>
        <v>0</v>
      </c>
      <c r="G38" s="3">
        <f>SUM(G33:G37)</f>
        <v>0</v>
      </c>
    </row>
  </sheetData>
  <sheetProtection/>
  <printOptions gridLines="1" horizontalCentered="1" verticalCentered="1"/>
  <pageMargins left="0.1968503937007874" right="0.1968503937007874" top="0.984251968503937" bottom="0.3937007874015748" header="0.5905511811023623" footer="0.5118110236220472"/>
  <pageSetup horizontalDpi="300" verticalDpi="300" orientation="landscape" scale="85" r:id="rId1"/>
  <headerFooter alignWithMargins="0">
    <oddHeader>&amp;C&amp;"Arial,Negrita"&amp;14MODELAJE FINANCIERO
&amp;12MODELO ANAUAL INVERSIONES&amp;"Arial,Normal"&amp;10
</oddHeader>
    <oddFooter>&amp;L&amp;"Arial,Negrita"&amp;8&amp;F&amp;C&amp;"Arial,Negrita"&amp;8Página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Desarrollo Gerencial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Financiero ACME Final</dc:title>
  <dc:subject>Modelaje Financiero</dc:subject>
  <dc:creator>William Martínez</dc:creator>
  <cp:keywords/>
  <dc:description>Mayo 2004
wmartinez@valora-ce.com</dc:description>
  <cp:lastModifiedBy>Janneth Rocio Chingate Rincon</cp:lastModifiedBy>
  <cp:lastPrinted>2018-10-09T13:18:36Z</cp:lastPrinted>
  <dcterms:created xsi:type="dcterms:W3CDTF">1996-01-01T07:13:34Z</dcterms:created>
  <dcterms:modified xsi:type="dcterms:W3CDTF">2021-11-17T20:56:26Z</dcterms:modified>
  <cp:category/>
  <cp:version/>
  <cp:contentType/>
  <cp:contentStatus/>
</cp:coreProperties>
</file>