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xml" ContentType="application/vnd.openxmlformats-officedocument.drawing+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15600" windowHeight="11160" activeTab="3"/>
  </bookViews>
  <sheets>
    <sheet name="Tamaño del proyecto" sheetId="19" r:id="rId1"/>
    <sheet name="Estimación de la demanda" sheetId="20" r:id="rId2"/>
    <sheet name="VentasMes" sheetId="1" r:id="rId3"/>
    <sheet name="VentasAños" sheetId="2" r:id="rId4"/>
    <sheet name="Nomina" sheetId="3" r:id="rId5"/>
    <sheet name="Maquinas" sheetId="4" r:id="rId6"/>
    <sheet name="Gastos" sheetId="5" r:id="rId7"/>
    <sheet name="Compras" sheetId="6" r:id="rId8"/>
    <sheet name="Depre" sheetId="7" r:id="rId9"/>
    <sheet name="Capital" sheetId="8" r:id="rId10"/>
    <sheet name="Amorti" sheetId="10" r:id="rId11"/>
    <sheet name="ESF" sheetId="12" r:id="rId12"/>
    <sheet name="ER" sheetId="11" r:id="rId13"/>
    <sheet name="FlujoCaja" sheetId="13" r:id="rId14"/>
    <sheet name="Equilibrio" sheetId="14" r:id="rId15"/>
    <sheet name="Propuesta" sheetId="18" r:id="rId16"/>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9" l="1"/>
  <c r="C11" i="19"/>
  <c r="K11" i="1" l="1"/>
  <c r="P19" i="1"/>
  <c r="K10" i="1"/>
  <c r="M19" i="1"/>
  <c r="K9" i="1"/>
  <c r="J19" i="1"/>
  <c r="G14" i="14" l="1"/>
  <c r="C9" i="14"/>
  <c r="C19" i="13" l="1"/>
  <c r="C50" i="13"/>
  <c r="C23" i="11"/>
  <c r="C28" i="13"/>
  <c r="D25" i="2" l="1"/>
  <c r="N26" i="5" l="1"/>
  <c r="N25" i="5"/>
  <c r="N24" i="5"/>
  <c r="N20" i="5"/>
  <c r="N21" i="5"/>
  <c r="N22" i="5"/>
  <c r="N23" i="5"/>
  <c r="N19" i="5"/>
  <c r="N27" i="5" s="1"/>
  <c r="L28" i="5" s="1"/>
  <c r="N28" i="5" s="1"/>
  <c r="C18" i="5" s="1"/>
  <c r="G6" i="10" l="1"/>
  <c r="G12" i="2" l="1"/>
  <c r="M7" i="5"/>
  <c r="G4" i="10"/>
  <c r="C6" i="10" s="1"/>
  <c r="D26" i="2" l="1"/>
  <c r="D27" i="2" l="1"/>
  <c r="D28" i="2" s="1"/>
  <c r="D29" i="2" s="1"/>
  <c r="B12" i="19" l="1"/>
  <c r="C12" i="19" s="1"/>
  <c r="B13" i="19"/>
  <c r="C13" i="19" s="1"/>
  <c r="G25" i="6"/>
  <c r="G11" i="2"/>
  <c r="D4" i="19" l="1"/>
  <c r="B14" i="19" s="1"/>
  <c r="C14" i="19" s="1"/>
  <c r="C8" i="8"/>
  <c r="C11" i="8"/>
  <c r="C12" i="8"/>
  <c r="C13" i="8"/>
  <c r="C14" i="8"/>
  <c r="C15" i="8"/>
  <c r="F54" i="4"/>
  <c r="D11" i="19"/>
  <c r="E11" i="19" l="1"/>
  <c r="F11" i="19" s="1"/>
  <c r="G11" i="19" s="1"/>
  <c r="D5" i="19"/>
  <c r="D6" i="19" s="1"/>
  <c r="B16" i="19" s="1"/>
  <c r="C16" i="19" s="1"/>
  <c r="D16" i="19" s="1"/>
  <c r="E16" i="19" s="1"/>
  <c r="F16" i="19" s="1"/>
  <c r="G16" i="19" s="1"/>
  <c r="E3" i="20" s="1"/>
  <c r="E2" i="20" s="1"/>
  <c r="B15" i="19"/>
  <c r="C15" i="19" s="1"/>
  <c r="G5" i="10"/>
  <c r="C19" i="14" l="1"/>
  <c r="H22" i="18" l="1"/>
  <c r="H21" i="18"/>
  <c r="D18" i="18"/>
  <c r="C24" i="19"/>
  <c r="D24" i="19" s="1"/>
  <c r="C20" i="19"/>
  <c r="D20" i="19" s="1"/>
  <c r="D15" i="19"/>
  <c r="D14" i="19"/>
  <c r="D13" i="19"/>
  <c r="D12" i="19"/>
  <c r="E15" i="19" l="1"/>
  <c r="F15" i="19" s="1"/>
  <c r="G15" i="19" s="1"/>
  <c r="E13" i="19"/>
  <c r="F13" i="19" s="1"/>
  <c r="G13" i="19" s="1"/>
  <c r="E14" i="19"/>
  <c r="F14" i="19" s="1"/>
  <c r="G14" i="19" s="1"/>
  <c r="E12" i="19"/>
  <c r="F12" i="19" s="1"/>
  <c r="G12" i="19" s="1"/>
  <c r="E9" i="20"/>
  <c r="E10" i="20" s="1"/>
  <c r="E11" i="20" s="1"/>
  <c r="M1" i="1" s="1"/>
  <c r="H23" i="18"/>
  <c r="B9" i="20"/>
  <c r="D9" i="20"/>
  <c r="D10" i="20" s="1"/>
  <c r="D11" i="20" s="1"/>
  <c r="L1" i="1" s="1"/>
  <c r="F9" i="20"/>
  <c r="F10" i="20" s="1"/>
  <c r="F11" i="20" s="1"/>
  <c r="N1" i="1" s="1"/>
  <c r="C9" i="20"/>
  <c r="C10" i="20" s="1"/>
  <c r="C11" i="20" s="1"/>
  <c r="K1" i="1" s="1"/>
  <c r="B10" i="20" l="1"/>
  <c r="B11" i="20" s="1"/>
  <c r="C61" i="14"/>
  <c r="J1" i="1" l="1"/>
  <c r="I1" i="1"/>
  <c r="I2" i="1" s="1"/>
  <c r="M9" i="1" s="1"/>
  <c r="M10" i="1"/>
  <c r="C24" i="1" s="1"/>
  <c r="D32" i="1" s="1"/>
  <c r="C18" i="14"/>
  <c r="C17" i="14"/>
  <c r="D35" i="1" l="1"/>
  <c r="D36" i="1"/>
  <c r="D31" i="1"/>
  <c r="D37" i="1"/>
  <c r="D27" i="1"/>
  <c r="D33" i="1"/>
  <c r="D34" i="1"/>
  <c r="C7" i="1"/>
  <c r="D30" i="1"/>
  <c r="D28" i="1"/>
  <c r="M11" i="1"/>
  <c r="C41" i="1" s="1"/>
  <c r="D43" i="1" s="1"/>
  <c r="D29" i="1"/>
  <c r="D26" i="1"/>
  <c r="D38" i="1" l="1"/>
  <c r="D52" i="1"/>
  <c r="D14" i="1"/>
  <c r="D12" i="1"/>
  <c r="D20" i="1"/>
  <c r="D13" i="1"/>
  <c r="D11" i="1"/>
  <c r="D19" i="1"/>
  <c r="D10" i="1"/>
  <c r="D18" i="1"/>
  <c r="D16" i="1"/>
  <c r="D9" i="1"/>
  <c r="D17" i="1"/>
  <c r="D15" i="1"/>
  <c r="G18" i="14"/>
  <c r="D49" i="1"/>
  <c r="D53" i="1"/>
  <c r="D48" i="1"/>
  <c r="D50" i="1"/>
  <c r="D47" i="1"/>
  <c r="D45" i="1"/>
  <c r="D44" i="1"/>
  <c r="D46" i="1"/>
  <c r="D54" i="1"/>
  <c r="D51" i="1"/>
  <c r="C10" i="14"/>
  <c r="D23" i="11"/>
  <c r="E23" i="11" s="1"/>
  <c r="F23" i="11" s="1"/>
  <c r="G23" i="11" s="1"/>
  <c r="G10" i="14" l="1"/>
  <c r="G9" i="14"/>
  <c r="I7" i="5"/>
  <c r="D7" i="5" s="1"/>
  <c r="KP12" i="7" l="1"/>
  <c r="KM16" i="7"/>
  <c r="KQ14" i="7" s="1"/>
  <c r="KH12" i="7"/>
  <c r="KE16" i="7"/>
  <c r="KI14" i="7" s="1"/>
  <c r="JZ12" i="7"/>
  <c r="JO16" i="7"/>
  <c r="JS14" i="7" s="1"/>
  <c r="JW16" i="7"/>
  <c r="KA15" i="7" s="1"/>
  <c r="JR12" i="7"/>
  <c r="JJ12" i="7"/>
  <c r="JG16" i="7"/>
  <c r="JK14" i="7" s="1"/>
  <c r="JB12" i="7"/>
  <c r="IY16" i="7"/>
  <c r="JC14" i="7" s="1"/>
  <c r="IT12" i="7"/>
  <c r="IQ16" i="7"/>
  <c r="IU15" i="7" s="1"/>
  <c r="IL12" i="7"/>
  <c r="II16" i="7"/>
  <c r="IM17" i="7" s="1"/>
  <c r="ID12" i="7"/>
  <c r="IA16" i="7"/>
  <c r="IE15" i="7" s="1"/>
  <c r="KI17" i="7" l="1"/>
  <c r="KQ17" i="7"/>
  <c r="KI15" i="7"/>
  <c r="KQ15" i="7"/>
  <c r="JK15" i="7"/>
  <c r="IE20" i="7"/>
  <c r="JC13" i="7"/>
  <c r="JD13" i="7" s="1"/>
  <c r="JD14" i="7" s="1"/>
  <c r="IE18" i="7"/>
  <c r="JC17" i="7"/>
  <c r="JK13" i="7"/>
  <c r="JC15" i="7"/>
  <c r="JK21" i="7"/>
  <c r="KA14" i="7"/>
  <c r="IU18" i="7"/>
  <c r="IU16" i="7"/>
  <c r="IE16" i="7"/>
  <c r="IM21" i="7"/>
  <c r="IU22" i="7"/>
  <c r="IU14" i="7"/>
  <c r="JC21" i="7"/>
  <c r="JK19" i="7"/>
  <c r="JS17" i="7"/>
  <c r="KA16" i="7"/>
  <c r="IE22" i="7"/>
  <c r="IE14" i="7"/>
  <c r="IU20" i="7"/>
  <c r="JC19" i="7"/>
  <c r="JK17" i="7"/>
  <c r="JS15" i="7"/>
  <c r="KA18" i="7"/>
  <c r="IM14" i="7"/>
  <c r="IM16" i="7"/>
  <c r="IM18" i="7"/>
  <c r="IM20" i="7"/>
  <c r="IM22" i="7"/>
  <c r="IM13" i="7"/>
  <c r="IL13" i="7" s="1"/>
  <c r="IM19" i="7"/>
  <c r="IM15" i="7"/>
  <c r="JB13" i="7"/>
  <c r="JB14" i="7" s="1"/>
  <c r="JB15" i="7" s="1"/>
  <c r="JJ13" i="7"/>
  <c r="JJ14" i="7" s="1"/>
  <c r="JJ15" i="7" s="1"/>
  <c r="JS13" i="7"/>
  <c r="JR13" i="7" s="1"/>
  <c r="JR14" i="7" s="1"/>
  <c r="JR15" i="7" s="1"/>
  <c r="IE13" i="7"/>
  <c r="ID13" i="7" s="1"/>
  <c r="ID14" i="7" s="1"/>
  <c r="ID15" i="7" s="1"/>
  <c r="IE21" i="7"/>
  <c r="IE19" i="7"/>
  <c r="IE17" i="7"/>
  <c r="IU13" i="7"/>
  <c r="IV13" i="7" s="1"/>
  <c r="IU21" i="7"/>
  <c r="IU19" i="7"/>
  <c r="IU17" i="7"/>
  <c r="JC22" i="7"/>
  <c r="JC20" i="7"/>
  <c r="JC18" i="7"/>
  <c r="JC16" i="7"/>
  <c r="JL13" i="7"/>
  <c r="JL14" i="7" s="1"/>
  <c r="JL15" i="7" s="1"/>
  <c r="JK22" i="7"/>
  <c r="JK20" i="7"/>
  <c r="JK18" i="7"/>
  <c r="JK16" i="7"/>
  <c r="JS18" i="7"/>
  <c r="JS16" i="7"/>
  <c r="KA13" i="7"/>
  <c r="KA17" i="7"/>
  <c r="KI13" i="7"/>
  <c r="KH13" i="7" s="1"/>
  <c r="KH14" i="7" s="1"/>
  <c r="KH15" i="7" s="1"/>
  <c r="KI16" i="7"/>
  <c r="KQ13" i="7"/>
  <c r="KP13" i="7" s="1"/>
  <c r="KP14" i="7" s="1"/>
  <c r="KQ16" i="7"/>
  <c r="HV12" i="7"/>
  <c r="HS16" i="7"/>
  <c r="HW14" i="7" s="1"/>
  <c r="HN12" i="7"/>
  <c r="HK16" i="7"/>
  <c r="HO13" i="7" s="1"/>
  <c r="HF12" i="7"/>
  <c r="HC16" i="7"/>
  <c r="HG18" i="7" s="1"/>
  <c r="GX12" i="7"/>
  <c r="GU16" i="7"/>
  <c r="GY14" i="7" s="1"/>
  <c r="GP12" i="7"/>
  <c r="GM16" i="7"/>
  <c r="GQ16" i="7" s="1"/>
  <c r="GH12" i="7"/>
  <c r="GE16" i="7"/>
  <c r="GI19" i="7" s="1"/>
  <c r="FZ12" i="7"/>
  <c r="FW16" i="7"/>
  <c r="GA15" i="7" s="1"/>
  <c r="FR12" i="7"/>
  <c r="FO16" i="7"/>
  <c r="FS15" i="7" s="1"/>
  <c r="FJ12" i="7"/>
  <c r="FG16" i="7"/>
  <c r="FK18" i="7" s="1"/>
  <c r="FB12" i="7"/>
  <c r="EY16" i="7"/>
  <c r="FC19" i="7" s="1"/>
  <c r="ET12" i="7"/>
  <c r="EQ16" i="7"/>
  <c r="EU15" i="7" s="1"/>
  <c r="EL12" i="7"/>
  <c r="EI16" i="7"/>
  <c r="EM15" i="7" s="1"/>
  <c r="ED12" i="7"/>
  <c r="EA16" i="7"/>
  <c r="EE18" i="7" s="1"/>
  <c r="DV12" i="7"/>
  <c r="DS16" i="7"/>
  <c r="DW16" i="7" s="1"/>
  <c r="DN12" i="7"/>
  <c r="DK16" i="7"/>
  <c r="DO15" i="7" s="1"/>
  <c r="DF12" i="7"/>
  <c r="DC16" i="7"/>
  <c r="DG13" i="7" s="1"/>
  <c r="CX12" i="7"/>
  <c r="CU16" i="7"/>
  <c r="CY15" i="7" s="1"/>
  <c r="CP12" i="7"/>
  <c r="CM16" i="7"/>
  <c r="CQ17" i="7" s="1"/>
  <c r="CH12" i="7"/>
  <c r="CE16" i="7"/>
  <c r="CI17" i="7" s="1"/>
  <c r="BZ12" i="7"/>
  <c r="BW16" i="7"/>
  <c r="CA16" i="7" s="1"/>
  <c r="BR12" i="7"/>
  <c r="BO16" i="7"/>
  <c r="BS14" i="7" s="1"/>
  <c r="BJ12" i="7"/>
  <c r="BG16" i="7"/>
  <c r="BK18" i="7" s="1"/>
  <c r="BB12" i="7"/>
  <c r="AY16" i="7"/>
  <c r="BC17" i="7" s="1"/>
  <c r="AT12" i="7"/>
  <c r="AQ16" i="7"/>
  <c r="AU18" i="7" s="1"/>
  <c r="AL12" i="7"/>
  <c r="AI16" i="7"/>
  <c r="AM17" i="7" s="1"/>
  <c r="AD12" i="7"/>
  <c r="AA16" i="7"/>
  <c r="AE14" i="7" s="1"/>
  <c r="V12" i="7"/>
  <c r="S16" i="7"/>
  <c r="W14" i="7" s="1"/>
  <c r="C17" i="7"/>
  <c r="G14" i="7" s="1"/>
  <c r="IN13" i="7" l="1"/>
  <c r="KP15" i="7"/>
  <c r="JD15" i="7"/>
  <c r="KR13" i="7"/>
  <c r="KR14" i="7" s="1"/>
  <c r="KR15" i="7" s="1"/>
  <c r="KR16" i="7" s="1"/>
  <c r="KR17" i="7" s="1"/>
  <c r="JT13" i="7"/>
  <c r="JT14" i="7" s="1"/>
  <c r="JT15" i="7" s="1"/>
  <c r="IV14" i="7"/>
  <c r="IV15" i="7" s="1"/>
  <c r="IV16" i="7" s="1"/>
  <c r="JL16" i="7"/>
  <c r="JL17" i="7" s="1"/>
  <c r="JL18" i="7" s="1"/>
  <c r="JL19" i="7" s="1"/>
  <c r="JL20" i="7" s="1"/>
  <c r="JL21" i="7" s="1"/>
  <c r="JL22" i="7" s="1"/>
  <c r="IV17" i="7"/>
  <c r="IV18" i="7" s="1"/>
  <c r="IV19" i="7" s="1"/>
  <c r="IV20" i="7" s="1"/>
  <c r="IV21" i="7" s="1"/>
  <c r="IV22" i="7" s="1"/>
  <c r="ID16" i="7"/>
  <c r="ID17" i="7" s="1"/>
  <c r="ID18" i="7" s="1"/>
  <c r="KJ13" i="7"/>
  <c r="KJ14" i="7" s="1"/>
  <c r="KJ15" i="7" s="1"/>
  <c r="KJ16" i="7" s="1"/>
  <c r="KJ17" i="7" s="1"/>
  <c r="JB16" i="7"/>
  <c r="JB17" i="7" s="1"/>
  <c r="JT16" i="7"/>
  <c r="JT17" i="7" s="1"/>
  <c r="JT18" i="7" s="1"/>
  <c r="ID19" i="7"/>
  <c r="ID20" i="7" s="1"/>
  <c r="ID21" i="7" s="1"/>
  <c r="ID22" i="7" s="1"/>
  <c r="JJ16" i="7"/>
  <c r="JJ17" i="7" s="1"/>
  <c r="JJ18" i="7" s="1"/>
  <c r="JJ19" i="7" s="1"/>
  <c r="JJ20" i="7" s="1"/>
  <c r="JJ21" i="7" s="1"/>
  <c r="JJ22" i="7" s="1"/>
  <c r="JB18" i="7"/>
  <c r="JB19" i="7" s="1"/>
  <c r="JB20" i="7" s="1"/>
  <c r="JB21" i="7" s="1"/>
  <c r="JB22" i="7" s="1"/>
  <c r="IN14" i="7"/>
  <c r="IN15" i="7" s="1"/>
  <c r="IN16" i="7" s="1"/>
  <c r="IN17" i="7" s="1"/>
  <c r="IN18" i="7" s="1"/>
  <c r="IN19" i="7" s="1"/>
  <c r="IN20" i="7" s="1"/>
  <c r="IN21" i="7" s="1"/>
  <c r="IN22" i="7" s="1"/>
  <c r="IF13" i="7"/>
  <c r="IF14" i="7" s="1"/>
  <c r="IF15" i="7" s="1"/>
  <c r="IF16" i="7" s="1"/>
  <c r="KP16" i="7"/>
  <c r="KP17" i="7" s="1"/>
  <c r="KH16" i="7"/>
  <c r="KH17" i="7" s="1"/>
  <c r="KB13" i="7"/>
  <c r="KB14" i="7" s="1"/>
  <c r="KB15" i="7" s="1"/>
  <c r="KB16" i="7" s="1"/>
  <c r="KB17" i="7" s="1"/>
  <c r="KB18" i="7" s="1"/>
  <c r="JZ13" i="7"/>
  <c r="JZ14" i="7" s="1"/>
  <c r="JZ15" i="7" s="1"/>
  <c r="JZ16" i="7" s="1"/>
  <c r="JZ17" i="7" s="1"/>
  <c r="JZ18" i="7" s="1"/>
  <c r="JD16" i="7"/>
  <c r="JD17" i="7" s="1"/>
  <c r="JD18" i="7" s="1"/>
  <c r="JD19" i="7" s="1"/>
  <c r="JD20" i="7" s="1"/>
  <c r="JD21" i="7" s="1"/>
  <c r="JD22" i="7" s="1"/>
  <c r="IF17" i="7"/>
  <c r="IF18" i="7" s="1"/>
  <c r="IF19" i="7" s="1"/>
  <c r="IF20" i="7" s="1"/>
  <c r="IF21" i="7" s="1"/>
  <c r="IF22" i="7" s="1"/>
  <c r="JR16" i="7"/>
  <c r="JR17" i="7" s="1"/>
  <c r="JR18" i="7" s="1"/>
  <c r="IL14" i="7"/>
  <c r="IL15" i="7" s="1"/>
  <c r="IL16" i="7" s="1"/>
  <c r="IL17" i="7" s="1"/>
  <c r="IL18" i="7" s="1"/>
  <c r="IL19" i="7" s="1"/>
  <c r="IL20" i="7" s="1"/>
  <c r="IL21" i="7" s="1"/>
  <c r="IL22" i="7" s="1"/>
  <c r="IT13" i="7"/>
  <c r="IT14" i="7" s="1"/>
  <c r="IT15" i="7" s="1"/>
  <c r="IT16" i="7" s="1"/>
  <c r="IT17" i="7" s="1"/>
  <c r="IT18" i="7" s="1"/>
  <c r="IT19" i="7" s="1"/>
  <c r="IT20" i="7" s="1"/>
  <c r="IT21" i="7" s="1"/>
  <c r="IT22" i="7" s="1"/>
  <c r="HG14" i="7"/>
  <c r="DW21" i="7"/>
  <c r="EE14" i="7"/>
  <c r="FK20" i="7"/>
  <c r="W17" i="7"/>
  <c r="DW15" i="7"/>
  <c r="EV13" i="7"/>
  <c r="FC15" i="7"/>
  <c r="GA20" i="7"/>
  <c r="EU14" i="7"/>
  <c r="GQ21" i="7"/>
  <c r="HH13" i="7"/>
  <c r="HW20" i="7"/>
  <c r="DO14" i="7"/>
  <c r="FK15" i="7"/>
  <c r="GA18" i="7"/>
  <c r="HW19" i="7"/>
  <c r="AM22" i="7"/>
  <c r="DP13" i="7"/>
  <c r="EU20" i="7"/>
  <c r="GB13" i="7"/>
  <c r="GA17" i="7"/>
  <c r="HG22" i="7"/>
  <c r="HX13" i="7"/>
  <c r="HX14" i="7" s="1"/>
  <c r="HW17" i="7"/>
  <c r="AM14" i="7"/>
  <c r="DO18" i="7"/>
  <c r="AE17" i="7"/>
  <c r="AM20" i="7"/>
  <c r="DG21" i="7"/>
  <c r="DO20" i="7"/>
  <c r="EU18" i="7"/>
  <c r="FC20" i="7"/>
  <c r="FK13" i="7"/>
  <c r="FJ13" i="7" s="1"/>
  <c r="GA22" i="7"/>
  <c r="GA14" i="7"/>
  <c r="HG16" i="7"/>
  <c r="HO19" i="7"/>
  <c r="HW13" i="7"/>
  <c r="HV13" i="7" s="1"/>
  <c r="HV14" i="7" s="1"/>
  <c r="HW15" i="7"/>
  <c r="CY20" i="7"/>
  <c r="FS21" i="7"/>
  <c r="FS14" i="7"/>
  <c r="GI16" i="7"/>
  <c r="GY20" i="7"/>
  <c r="GY15" i="7"/>
  <c r="AM18" i="7"/>
  <c r="BD13" i="7"/>
  <c r="BT13" i="7"/>
  <c r="BT14" i="7" s="1"/>
  <c r="CY19" i="7"/>
  <c r="DG18" i="7"/>
  <c r="DW20" i="7"/>
  <c r="FS19" i="7"/>
  <c r="GQ19" i="7"/>
  <c r="GY19" i="7"/>
  <c r="GY13" i="7"/>
  <c r="GX13" i="7" s="1"/>
  <c r="GX14" i="7" s="1"/>
  <c r="HO15" i="7"/>
  <c r="AM16" i="7"/>
  <c r="BC20" i="7"/>
  <c r="BS21" i="7"/>
  <c r="CJ13" i="7"/>
  <c r="CQ13" i="7"/>
  <c r="CP13" i="7" s="1"/>
  <c r="CZ13" i="7"/>
  <c r="CY18" i="7"/>
  <c r="DG15" i="7"/>
  <c r="DO22" i="7"/>
  <c r="DO17" i="7"/>
  <c r="DW19" i="7"/>
  <c r="EU22" i="7"/>
  <c r="EU17" i="7"/>
  <c r="FT13" i="7"/>
  <c r="FS18" i="7"/>
  <c r="GA21" i="7"/>
  <c r="GA16" i="7"/>
  <c r="GI21" i="7"/>
  <c r="GQ17" i="7"/>
  <c r="GZ13" i="7"/>
  <c r="GZ14" i="7" s="1"/>
  <c r="GY17" i="7"/>
  <c r="HW21" i="7"/>
  <c r="HW16" i="7"/>
  <c r="CY14" i="7"/>
  <c r="W21" i="7"/>
  <c r="AE21" i="7"/>
  <c r="BC16" i="7"/>
  <c r="BS17" i="7"/>
  <c r="CI18" i="7"/>
  <c r="CY13" i="7"/>
  <c r="CX13" i="7" s="1"/>
  <c r="DO21" i="7"/>
  <c r="DO16" i="7"/>
  <c r="DX13" i="7"/>
  <c r="EE19" i="7"/>
  <c r="EU21" i="7"/>
  <c r="EU16" i="7"/>
  <c r="FS13" i="7"/>
  <c r="FR13" i="7" s="1"/>
  <c r="GQ13" i="7"/>
  <c r="GP13" i="7" s="1"/>
  <c r="GQ15" i="7"/>
  <c r="GY21" i="7"/>
  <c r="GY16" i="7"/>
  <c r="AU15" i="7"/>
  <c r="AU19" i="7"/>
  <c r="AU13" i="7"/>
  <c r="AT13" i="7" s="1"/>
  <c r="AU16" i="7"/>
  <c r="AU20" i="7"/>
  <c r="AV13" i="7"/>
  <c r="AU17" i="7"/>
  <c r="AU21" i="7"/>
  <c r="AU14" i="7"/>
  <c r="BK15" i="7"/>
  <c r="BK19" i="7"/>
  <c r="BK13" i="7"/>
  <c r="BJ13" i="7" s="1"/>
  <c r="BK16" i="7"/>
  <c r="BK20" i="7"/>
  <c r="BL13" i="7"/>
  <c r="BK17" i="7"/>
  <c r="BK21" i="7"/>
  <c r="BK14" i="7"/>
  <c r="CA17" i="7"/>
  <c r="CA21" i="7"/>
  <c r="CB13" i="7"/>
  <c r="CA18" i="7"/>
  <c r="CA13" i="7"/>
  <c r="BZ13" i="7" s="1"/>
  <c r="CA14" i="7"/>
  <c r="CA19" i="7"/>
  <c r="CA15" i="7"/>
  <c r="CA20" i="7"/>
  <c r="AU22" i="7"/>
  <c r="BK22" i="7"/>
  <c r="CA22" i="7"/>
  <c r="CQ14" i="7"/>
  <c r="CQ18" i="7"/>
  <c r="CQ22" i="7"/>
  <c r="CQ19" i="7"/>
  <c r="CQ15" i="7"/>
  <c r="CQ20" i="7"/>
  <c r="CR13" i="7"/>
  <c r="CQ16" i="7"/>
  <c r="CQ21" i="7"/>
  <c r="EM22" i="7"/>
  <c r="W20" i="7"/>
  <c r="W16" i="7"/>
  <c r="AE20" i="7"/>
  <c r="AE16" i="7"/>
  <c r="AM13" i="7"/>
  <c r="AM19" i="7"/>
  <c r="AM15" i="7"/>
  <c r="BC13" i="7"/>
  <c r="BB13" i="7" s="1"/>
  <c r="BC19" i="7"/>
  <c r="BC15" i="7"/>
  <c r="BS20" i="7"/>
  <c r="BS16" i="7"/>
  <c r="CI22" i="7"/>
  <c r="DG16" i="7"/>
  <c r="DG20" i="7"/>
  <c r="DG22" i="7"/>
  <c r="DG17" i="7"/>
  <c r="EE13" i="7"/>
  <c r="ED13" i="7" s="1"/>
  <c r="EM21" i="7"/>
  <c r="FD13" i="7"/>
  <c r="FK17" i="7"/>
  <c r="FK21" i="7"/>
  <c r="FL13" i="7"/>
  <c r="FK22" i="7"/>
  <c r="FK16" i="7"/>
  <c r="GI14" i="7"/>
  <c r="GI18" i="7"/>
  <c r="GI22" i="7"/>
  <c r="GI13" i="7"/>
  <c r="GH13" i="7" s="1"/>
  <c r="GI17" i="7"/>
  <c r="HO16" i="7"/>
  <c r="HO20" i="7"/>
  <c r="HO14" i="7"/>
  <c r="HO18" i="7"/>
  <c r="HO22" i="7"/>
  <c r="HO21" i="7"/>
  <c r="EM16" i="7"/>
  <c r="EM20" i="7"/>
  <c r="EM17" i="7"/>
  <c r="W13" i="7"/>
  <c r="W19" i="7"/>
  <c r="W15" i="7"/>
  <c r="AE13" i="7"/>
  <c r="AE19" i="7"/>
  <c r="AE15" i="7"/>
  <c r="BC22" i="7"/>
  <c r="BC18" i="7"/>
  <c r="BC14" i="7"/>
  <c r="BS13" i="7"/>
  <c r="BR13" i="7" s="1"/>
  <c r="BR14" i="7" s="1"/>
  <c r="BS19" i="7"/>
  <c r="BS15" i="7"/>
  <c r="CI15" i="7"/>
  <c r="CI19" i="7"/>
  <c r="CI13" i="7"/>
  <c r="CH13" i="7" s="1"/>
  <c r="CI21" i="7"/>
  <c r="CI16" i="7"/>
  <c r="DF13" i="7"/>
  <c r="EE17" i="7"/>
  <c r="EE21" i="7"/>
  <c r="EF13" i="7"/>
  <c r="EE22" i="7"/>
  <c r="EE16" i="7"/>
  <c r="EN13" i="7"/>
  <c r="EM19" i="7"/>
  <c r="EM14" i="7"/>
  <c r="FC14" i="7"/>
  <c r="FC18" i="7"/>
  <c r="FC22" i="7"/>
  <c r="FC13" i="7"/>
  <c r="FB13" i="7" s="1"/>
  <c r="FC17" i="7"/>
  <c r="HN13" i="7"/>
  <c r="W22" i="7"/>
  <c r="W18" i="7"/>
  <c r="AE22" i="7"/>
  <c r="AE18" i="7"/>
  <c r="AM21" i="7"/>
  <c r="BC21" i="7"/>
  <c r="BS22" i="7"/>
  <c r="BS18" i="7"/>
  <c r="CI20" i="7"/>
  <c r="CI14" i="7"/>
  <c r="CY17" i="7"/>
  <c r="CY21" i="7"/>
  <c r="CY22" i="7"/>
  <c r="CY16" i="7"/>
  <c r="DH13" i="7"/>
  <c r="DG19" i="7"/>
  <c r="DG14" i="7"/>
  <c r="DW14" i="7"/>
  <c r="DW18" i="7"/>
  <c r="DW22" i="7"/>
  <c r="DW13" i="7"/>
  <c r="DV13" i="7" s="1"/>
  <c r="DW17" i="7"/>
  <c r="EE20" i="7"/>
  <c r="EE15" i="7"/>
  <c r="EM13" i="7"/>
  <c r="EL13" i="7" s="1"/>
  <c r="EM18" i="7"/>
  <c r="FC21" i="7"/>
  <c r="FC16" i="7"/>
  <c r="FK19" i="7"/>
  <c r="FK14" i="7"/>
  <c r="FS16" i="7"/>
  <c r="FS20" i="7"/>
  <c r="FS22" i="7"/>
  <c r="FS17" i="7"/>
  <c r="GJ13" i="7"/>
  <c r="GI20" i="7"/>
  <c r="GI15" i="7"/>
  <c r="HG17" i="7"/>
  <c r="HG21" i="7"/>
  <c r="HG15" i="7"/>
  <c r="HG19" i="7"/>
  <c r="HG13" i="7"/>
  <c r="HF13" i="7" s="1"/>
  <c r="HG20" i="7"/>
  <c r="HP13" i="7"/>
  <c r="HO17" i="7"/>
  <c r="GQ22" i="7"/>
  <c r="GQ18" i="7"/>
  <c r="GQ14" i="7"/>
  <c r="DO13" i="7"/>
  <c r="DN13" i="7" s="1"/>
  <c r="DO19" i="7"/>
  <c r="EU13" i="7"/>
  <c r="ET13" i="7" s="1"/>
  <c r="EU19" i="7"/>
  <c r="GA13" i="7"/>
  <c r="FZ13" i="7" s="1"/>
  <c r="GA19" i="7"/>
  <c r="GR13" i="7"/>
  <c r="GQ20" i="7"/>
  <c r="GY22" i="7"/>
  <c r="GY18" i="7"/>
  <c r="HW22" i="7"/>
  <c r="HW18" i="7"/>
  <c r="N12" i="7"/>
  <c r="K16" i="7"/>
  <c r="O14" i="7" s="1"/>
  <c r="GZ15" i="7" l="1"/>
  <c r="ET14" i="7"/>
  <c r="ET15" i="7" s="1"/>
  <c r="GB14" i="7"/>
  <c r="GB15" i="7" s="1"/>
  <c r="EF14" i="7"/>
  <c r="EF15" i="7" s="1"/>
  <c r="EF16" i="7" s="1"/>
  <c r="EF17" i="7" s="1"/>
  <c r="EF18" i="7" s="1"/>
  <c r="EF19" i="7" s="1"/>
  <c r="EF20" i="7" s="1"/>
  <c r="EF21" i="7" s="1"/>
  <c r="EF22" i="7" s="1"/>
  <c r="BJ14" i="7"/>
  <c r="BJ15" i="7" s="1"/>
  <c r="BJ16" i="7" s="1"/>
  <c r="BJ17" i="7" s="1"/>
  <c r="BJ18" i="7" s="1"/>
  <c r="BJ19" i="7" s="1"/>
  <c r="BJ20" i="7" s="1"/>
  <c r="BJ21" i="7" s="1"/>
  <c r="BJ22" i="7" s="1"/>
  <c r="ED14" i="7"/>
  <c r="ED15" i="7" s="1"/>
  <c r="ED16" i="7" s="1"/>
  <c r="ED17" i="7" s="1"/>
  <c r="ED18" i="7" s="1"/>
  <c r="ED19" i="7" s="1"/>
  <c r="ED20" i="7" s="1"/>
  <c r="ED21" i="7" s="1"/>
  <c r="ED22" i="7" s="1"/>
  <c r="HF14" i="7"/>
  <c r="HF15" i="7" s="1"/>
  <c r="HF16" i="7" s="1"/>
  <c r="HF17" i="7" s="1"/>
  <c r="HF18" i="7" s="1"/>
  <c r="HF19" i="7" s="1"/>
  <c r="HF20" i="7" s="1"/>
  <c r="HF21" i="7" s="1"/>
  <c r="HF22" i="7" s="1"/>
  <c r="HH14" i="7"/>
  <c r="HH15" i="7" s="1"/>
  <c r="HH16" i="7" s="1"/>
  <c r="HH17" i="7" s="1"/>
  <c r="HH18" i="7" s="1"/>
  <c r="HH19" i="7" s="1"/>
  <c r="HH20" i="7" s="1"/>
  <c r="HH21" i="7" s="1"/>
  <c r="HH22" i="7" s="1"/>
  <c r="EV14" i="7"/>
  <c r="EV15" i="7" s="1"/>
  <c r="EV16" i="7" s="1"/>
  <c r="EV17" i="7" s="1"/>
  <c r="EV18" i="7" s="1"/>
  <c r="EV19" i="7" s="1"/>
  <c r="EV20" i="7" s="1"/>
  <c r="EV21" i="7" s="1"/>
  <c r="EV22" i="7" s="1"/>
  <c r="CZ14" i="7"/>
  <c r="CZ15" i="7" s="1"/>
  <c r="CZ16" i="7" s="1"/>
  <c r="CZ17" i="7" s="1"/>
  <c r="CZ18" i="7" s="1"/>
  <c r="CZ19" i="7" s="1"/>
  <c r="CZ20" i="7" s="1"/>
  <c r="CZ21" i="7" s="1"/>
  <c r="CZ22" i="7" s="1"/>
  <c r="GX15" i="7"/>
  <c r="GX16" i="7" s="1"/>
  <c r="GX17" i="7" s="1"/>
  <c r="GX18" i="7" s="1"/>
  <c r="GX19" i="7" s="1"/>
  <c r="GX20" i="7" s="1"/>
  <c r="GX21" i="7" s="1"/>
  <c r="GX22" i="7" s="1"/>
  <c r="ET16" i="7"/>
  <c r="ET17" i="7" s="1"/>
  <c r="ET18" i="7" s="1"/>
  <c r="ET19" i="7" s="1"/>
  <c r="ET20" i="7" s="1"/>
  <c r="ET21" i="7" s="1"/>
  <c r="ET22" i="7" s="1"/>
  <c r="BT15" i="7"/>
  <c r="BT16" i="7" s="1"/>
  <c r="BT17" i="7" s="1"/>
  <c r="BT18" i="7" s="1"/>
  <c r="BT19" i="7" s="1"/>
  <c r="BT20" i="7" s="1"/>
  <c r="BT21" i="7" s="1"/>
  <c r="BT22" i="7" s="1"/>
  <c r="FR14" i="7"/>
  <c r="FR15" i="7" s="1"/>
  <c r="FR16" i="7" s="1"/>
  <c r="FR17" i="7" s="1"/>
  <c r="FR18" i="7" s="1"/>
  <c r="FR19" i="7" s="1"/>
  <c r="FR20" i="7" s="1"/>
  <c r="FR21" i="7" s="1"/>
  <c r="FR22" i="7" s="1"/>
  <c r="FD14" i="7"/>
  <c r="FD15" i="7" s="1"/>
  <c r="FD16" i="7" s="1"/>
  <c r="FD17" i="7" s="1"/>
  <c r="FD18" i="7" s="1"/>
  <c r="FD19" i="7" s="1"/>
  <c r="FD20" i="7" s="1"/>
  <c r="FD21" i="7" s="1"/>
  <c r="FD22" i="7" s="1"/>
  <c r="HX15" i="7"/>
  <c r="HX16" i="7" s="1"/>
  <c r="HX17" i="7" s="1"/>
  <c r="HX18" i="7" s="1"/>
  <c r="HX19" i="7" s="1"/>
  <c r="HX20" i="7" s="1"/>
  <c r="HX21" i="7" s="1"/>
  <c r="HX22" i="7" s="1"/>
  <c r="DN14" i="7"/>
  <c r="DN15" i="7" s="1"/>
  <c r="DN16" i="7" s="1"/>
  <c r="DN17" i="7" s="1"/>
  <c r="DN18" i="7" s="1"/>
  <c r="DN19" i="7" s="1"/>
  <c r="DN20" i="7" s="1"/>
  <c r="DN21" i="7" s="1"/>
  <c r="DN22" i="7" s="1"/>
  <c r="CJ14" i="7"/>
  <c r="EN14" i="7"/>
  <c r="EN15" i="7" s="1"/>
  <c r="EN16" i="7" s="1"/>
  <c r="EN17" i="7" s="1"/>
  <c r="EN18" i="7" s="1"/>
  <c r="EN19" i="7" s="1"/>
  <c r="EN20" i="7" s="1"/>
  <c r="EN21" i="7" s="1"/>
  <c r="EN22" i="7" s="1"/>
  <c r="BR15" i="7"/>
  <c r="BR16" i="7" s="1"/>
  <c r="BR17" i="7" s="1"/>
  <c r="BR18" i="7" s="1"/>
  <c r="BR19" i="7" s="1"/>
  <c r="BR20" i="7" s="1"/>
  <c r="BR21" i="7" s="1"/>
  <c r="BR22" i="7" s="1"/>
  <c r="CP14" i="7"/>
  <c r="CP15" i="7" s="1"/>
  <c r="CP16" i="7" s="1"/>
  <c r="CP17" i="7" s="1"/>
  <c r="CP18" i="7" s="1"/>
  <c r="CP19" i="7" s="1"/>
  <c r="CP20" i="7" s="1"/>
  <c r="CP21" i="7" s="1"/>
  <c r="CP22" i="7" s="1"/>
  <c r="GB16" i="7"/>
  <c r="GB17" i="7" s="1"/>
  <c r="GB18" i="7" s="1"/>
  <c r="GB19" i="7" s="1"/>
  <c r="GB20" i="7" s="1"/>
  <c r="GB21" i="7" s="1"/>
  <c r="GB22" i="7" s="1"/>
  <c r="HV15" i="7"/>
  <c r="HV16" i="7" s="1"/>
  <c r="HV17" i="7" s="1"/>
  <c r="HV18" i="7" s="1"/>
  <c r="HV19" i="7" s="1"/>
  <c r="HV20" i="7" s="1"/>
  <c r="HV21" i="7" s="1"/>
  <c r="HV22" i="7" s="1"/>
  <c r="GZ16" i="7"/>
  <c r="GZ17" i="7" s="1"/>
  <c r="GZ18" i="7" s="1"/>
  <c r="GZ19" i="7" s="1"/>
  <c r="GZ20" i="7" s="1"/>
  <c r="GZ21" i="7" s="1"/>
  <c r="GZ22" i="7" s="1"/>
  <c r="CX14" i="7"/>
  <c r="CX15" i="7" s="1"/>
  <c r="CX16" i="7" s="1"/>
  <c r="CX17" i="7" s="1"/>
  <c r="CX18" i="7" s="1"/>
  <c r="CX19" i="7" s="1"/>
  <c r="CX20" i="7" s="1"/>
  <c r="CX21" i="7" s="1"/>
  <c r="CX22" i="7" s="1"/>
  <c r="DP14" i="7"/>
  <c r="DP15" i="7" s="1"/>
  <c r="DP16" i="7" s="1"/>
  <c r="DP17" i="7" s="1"/>
  <c r="DP18" i="7" s="1"/>
  <c r="DP19" i="7" s="1"/>
  <c r="DP20" i="7" s="1"/>
  <c r="DP21" i="7" s="1"/>
  <c r="DP22" i="7" s="1"/>
  <c r="FZ14" i="7"/>
  <c r="FZ15" i="7" s="1"/>
  <c r="FZ16" i="7" s="1"/>
  <c r="FZ17" i="7" s="1"/>
  <c r="FZ18" i="7" s="1"/>
  <c r="FZ19" i="7" s="1"/>
  <c r="FZ20" i="7" s="1"/>
  <c r="FZ21" i="7" s="1"/>
  <c r="FZ22" i="7" s="1"/>
  <c r="BD14" i="7"/>
  <c r="BD15" i="7" s="1"/>
  <c r="BD16" i="7" s="1"/>
  <c r="BD17" i="7" s="1"/>
  <c r="BD18" i="7" s="1"/>
  <c r="BD19" i="7" s="1"/>
  <c r="BD20" i="7" s="1"/>
  <c r="BD21" i="7" s="1"/>
  <c r="BD22" i="7" s="1"/>
  <c r="HN14" i="7"/>
  <c r="HN15" i="7" s="1"/>
  <c r="HN16" i="7" s="1"/>
  <c r="HN17" i="7" s="1"/>
  <c r="HN18" i="7" s="1"/>
  <c r="HN19" i="7" s="1"/>
  <c r="HN20" i="7" s="1"/>
  <c r="HN21" i="7" s="1"/>
  <c r="HN22" i="7" s="1"/>
  <c r="BL14" i="7"/>
  <c r="BL15" i="7" s="1"/>
  <c r="BL16" i="7" s="1"/>
  <c r="BL17" i="7" s="1"/>
  <c r="BL18" i="7" s="1"/>
  <c r="BL19" i="7" s="1"/>
  <c r="BL20" i="7" s="1"/>
  <c r="BL21" i="7" s="1"/>
  <c r="BL22" i="7" s="1"/>
  <c r="FT14" i="7"/>
  <c r="FT15" i="7" s="1"/>
  <c r="FT16" i="7" s="1"/>
  <c r="FT17" i="7" s="1"/>
  <c r="FT18" i="7" s="1"/>
  <c r="FT19" i="7" s="1"/>
  <c r="FT20" i="7" s="1"/>
  <c r="FT21" i="7" s="1"/>
  <c r="FT22" i="7" s="1"/>
  <c r="AT14" i="7"/>
  <c r="AT15" i="7" s="1"/>
  <c r="AT16" i="7" s="1"/>
  <c r="AT17" i="7" s="1"/>
  <c r="AT18" i="7" s="1"/>
  <c r="AT19" i="7" s="1"/>
  <c r="AT20" i="7" s="1"/>
  <c r="AT21" i="7" s="1"/>
  <c r="AT22" i="7" s="1"/>
  <c r="FJ14" i="7"/>
  <c r="FJ15" i="7" s="1"/>
  <c r="FJ16" i="7" s="1"/>
  <c r="FJ17" i="7" s="1"/>
  <c r="FJ18" i="7" s="1"/>
  <c r="FJ19" i="7" s="1"/>
  <c r="FJ20" i="7" s="1"/>
  <c r="FJ21" i="7" s="1"/>
  <c r="FJ22" i="7" s="1"/>
  <c r="DX14" i="7"/>
  <c r="DX15" i="7" s="1"/>
  <c r="DX16" i="7" s="1"/>
  <c r="DX17" i="7" s="1"/>
  <c r="DX18" i="7" s="1"/>
  <c r="DX19" i="7" s="1"/>
  <c r="DX20" i="7" s="1"/>
  <c r="DX21" i="7" s="1"/>
  <c r="DX22" i="7" s="1"/>
  <c r="FB14" i="7"/>
  <c r="FB15" i="7" s="1"/>
  <c r="FB16" i="7" s="1"/>
  <c r="FB17" i="7" s="1"/>
  <c r="FB18" i="7" s="1"/>
  <c r="FB19" i="7" s="1"/>
  <c r="FB20" i="7" s="1"/>
  <c r="FB21" i="7" s="1"/>
  <c r="FB22" i="7" s="1"/>
  <c r="DF14" i="7"/>
  <c r="DF15" i="7" s="1"/>
  <c r="DF16" i="7" s="1"/>
  <c r="DF17" i="7" s="1"/>
  <c r="DF18" i="7" s="1"/>
  <c r="DF19" i="7" s="1"/>
  <c r="DF20" i="7" s="1"/>
  <c r="DF21" i="7" s="1"/>
  <c r="DF22" i="7" s="1"/>
  <c r="HP14" i="7"/>
  <c r="HP15" i="7" s="1"/>
  <c r="HP16" i="7" s="1"/>
  <c r="HP17" i="7" s="1"/>
  <c r="HP18" i="7" s="1"/>
  <c r="HP19" i="7" s="1"/>
  <c r="HP20" i="7" s="1"/>
  <c r="HP21" i="7" s="1"/>
  <c r="HP22" i="7" s="1"/>
  <c r="GH14" i="7"/>
  <c r="GH15" i="7" s="1"/>
  <c r="GH16" i="7" s="1"/>
  <c r="GH17" i="7" s="1"/>
  <c r="GH18" i="7" s="1"/>
  <c r="GH19" i="7" s="1"/>
  <c r="GH20" i="7" s="1"/>
  <c r="GH21" i="7" s="1"/>
  <c r="GH22" i="7" s="1"/>
  <c r="CB14" i="7"/>
  <c r="CB15" i="7" s="1"/>
  <c r="CB16" i="7" s="1"/>
  <c r="CB17" i="7" s="1"/>
  <c r="CB18" i="7" s="1"/>
  <c r="CB19" i="7" s="1"/>
  <c r="CB20" i="7" s="1"/>
  <c r="CB21" i="7" s="1"/>
  <c r="CB22" i="7" s="1"/>
  <c r="CJ15" i="7"/>
  <c r="CJ16" i="7" s="1"/>
  <c r="CJ17" i="7" s="1"/>
  <c r="CJ18" i="7" s="1"/>
  <c r="CJ19" i="7" s="1"/>
  <c r="CJ20" i="7" s="1"/>
  <c r="CJ21" i="7" s="1"/>
  <c r="CJ22" i="7" s="1"/>
  <c r="V13" i="7"/>
  <c r="V14" i="7" s="1"/>
  <c r="V15" i="7" s="1"/>
  <c r="V16" i="7" s="1"/>
  <c r="V17" i="7" s="1"/>
  <c r="V18" i="7" s="1"/>
  <c r="V19" i="7" s="1"/>
  <c r="V20" i="7" s="1"/>
  <c r="V21" i="7" s="1"/>
  <c r="V22" i="7" s="1"/>
  <c r="X13" i="7"/>
  <c r="X14" i="7" s="1"/>
  <c r="X15" i="7" s="1"/>
  <c r="X16" i="7" s="1"/>
  <c r="X17" i="7" s="1"/>
  <c r="X18" i="7" s="1"/>
  <c r="X19" i="7" s="1"/>
  <c r="X20" i="7" s="1"/>
  <c r="X21" i="7" s="1"/>
  <c r="X22" i="7" s="1"/>
  <c r="GJ14" i="7"/>
  <c r="GJ15" i="7" s="1"/>
  <c r="GJ16" i="7" s="1"/>
  <c r="GJ17" i="7" s="1"/>
  <c r="GJ18" i="7" s="1"/>
  <c r="GJ19" i="7" s="1"/>
  <c r="GJ20" i="7" s="1"/>
  <c r="GJ21" i="7" s="1"/>
  <c r="GJ22" i="7" s="1"/>
  <c r="EL14" i="7"/>
  <c r="EL15" i="7" s="1"/>
  <c r="EL16" i="7" s="1"/>
  <c r="EL17" i="7" s="1"/>
  <c r="EL18" i="7" s="1"/>
  <c r="EL19" i="7" s="1"/>
  <c r="EL20" i="7" s="1"/>
  <c r="EL21" i="7" s="1"/>
  <c r="EL22" i="7" s="1"/>
  <c r="BB14" i="7"/>
  <c r="BB15" i="7" s="1"/>
  <c r="BB16" i="7" s="1"/>
  <c r="BB17" i="7" s="1"/>
  <c r="BB18" i="7" s="1"/>
  <c r="BB19" i="7" s="1"/>
  <c r="BB20" i="7" s="1"/>
  <c r="BB21" i="7" s="1"/>
  <c r="BB22" i="7" s="1"/>
  <c r="BZ14" i="7"/>
  <c r="BZ15" i="7" s="1"/>
  <c r="BZ16" i="7" s="1"/>
  <c r="BZ17" i="7" s="1"/>
  <c r="BZ18" i="7" s="1"/>
  <c r="BZ19" i="7" s="1"/>
  <c r="BZ20" i="7" s="1"/>
  <c r="BZ21" i="7" s="1"/>
  <c r="BZ22" i="7" s="1"/>
  <c r="AN13" i="7"/>
  <c r="AN14" i="7" s="1"/>
  <c r="AN15" i="7" s="1"/>
  <c r="AN16" i="7" s="1"/>
  <c r="AN17" i="7" s="1"/>
  <c r="AN18" i="7" s="1"/>
  <c r="AN19" i="7" s="1"/>
  <c r="AN20" i="7" s="1"/>
  <c r="AN21" i="7" s="1"/>
  <c r="AN22" i="7" s="1"/>
  <c r="AL13" i="7"/>
  <c r="AL14" i="7" s="1"/>
  <c r="AL15" i="7" s="1"/>
  <c r="AL16" i="7" s="1"/>
  <c r="AL17" i="7" s="1"/>
  <c r="AL18" i="7" s="1"/>
  <c r="AL19" i="7" s="1"/>
  <c r="AL20" i="7" s="1"/>
  <c r="AL21" i="7" s="1"/>
  <c r="AL22" i="7" s="1"/>
  <c r="GR14" i="7"/>
  <c r="GR15" i="7" s="1"/>
  <c r="GR16" i="7" s="1"/>
  <c r="GR17" i="7" s="1"/>
  <c r="GR18" i="7" s="1"/>
  <c r="GR19" i="7" s="1"/>
  <c r="GR20" i="7" s="1"/>
  <c r="GR21" i="7" s="1"/>
  <c r="GR22" i="7" s="1"/>
  <c r="GP14" i="7"/>
  <c r="GP15" i="7" s="1"/>
  <c r="GP16" i="7" s="1"/>
  <c r="GP17" i="7" s="1"/>
  <c r="GP18" i="7" s="1"/>
  <c r="GP19" i="7" s="1"/>
  <c r="GP20" i="7" s="1"/>
  <c r="GP21" i="7" s="1"/>
  <c r="GP22" i="7" s="1"/>
  <c r="FL14" i="7"/>
  <c r="FL15" i="7" s="1"/>
  <c r="FL16" i="7" s="1"/>
  <c r="FL17" i="7" s="1"/>
  <c r="FL18" i="7" s="1"/>
  <c r="FL19" i="7" s="1"/>
  <c r="FL20" i="7" s="1"/>
  <c r="FL21" i="7" s="1"/>
  <c r="FL22" i="7" s="1"/>
  <c r="AD13" i="7"/>
  <c r="AD14" i="7" s="1"/>
  <c r="AD15" i="7" s="1"/>
  <c r="AD16" i="7" s="1"/>
  <c r="AD17" i="7" s="1"/>
  <c r="AD18" i="7" s="1"/>
  <c r="AD19" i="7" s="1"/>
  <c r="AD20" i="7" s="1"/>
  <c r="AD21" i="7" s="1"/>
  <c r="AD22" i="7" s="1"/>
  <c r="AF13" i="7"/>
  <c r="AF14" i="7" s="1"/>
  <c r="AF15" i="7" s="1"/>
  <c r="AF16" i="7" s="1"/>
  <c r="AF17" i="7" s="1"/>
  <c r="AF18" i="7" s="1"/>
  <c r="AF19" i="7" s="1"/>
  <c r="AF20" i="7" s="1"/>
  <c r="AF21" i="7" s="1"/>
  <c r="AF22" i="7" s="1"/>
  <c r="DV14" i="7"/>
  <c r="DV15" i="7" s="1"/>
  <c r="DV16" i="7" s="1"/>
  <c r="DV17" i="7" s="1"/>
  <c r="DV18" i="7" s="1"/>
  <c r="DV19" i="7" s="1"/>
  <c r="DV20" i="7" s="1"/>
  <c r="DV21" i="7" s="1"/>
  <c r="DV22" i="7" s="1"/>
  <c r="DH14" i="7"/>
  <c r="DH15" i="7" s="1"/>
  <c r="DH16" i="7" s="1"/>
  <c r="DH17" i="7" s="1"/>
  <c r="DH18" i="7" s="1"/>
  <c r="DH19" i="7" s="1"/>
  <c r="DH20" i="7" s="1"/>
  <c r="DH21" i="7" s="1"/>
  <c r="DH22" i="7" s="1"/>
  <c r="CH14" i="7"/>
  <c r="CH15" i="7" s="1"/>
  <c r="CH16" i="7" s="1"/>
  <c r="CH17" i="7" s="1"/>
  <c r="CH18" i="7" s="1"/>
  <c r="CH19" i="7" s="1"/>
  <c r="CH20" i="7" s="1"/>
  <c r="CH21" i="7" s="1"/>
  <c r="CH22" i="7" s="1"/>
  <c r="CR14" i="7"/>
  <c r="CR15" i="7" s="1"/>
  <c r="CR16" i="7" s="1"/>
  <c r="CR17" i="7" s="1"/>
  <c r="CR18" i="7" s="1"/>
  <c r="CR19" i="7" s="1"/>
  <c r="CR20" i="7" s="1"/>
  <c r="CR21" i="7" s="1"/>
  <c r="CR22" i="7" s="1"/>
  <c r="AV14" i="7"/>
  <c r="AV15" i="7" s="1"/>
  <c r="AV16" i="7" s="1"/>
  <c r="AV17" i="7" s="1"/>
  <c r="AV18" i="7" s="1"/>
  <c r="AV19" i="7" s="1"/>
  <c r="AV20" i="7" s="1"/>
  <c r="AV21" i="7" s="1"/>
  <c r="AV22" i="7" s="1"/>
  <c r="O21" i="7"/>
  <c r="O19" i="7"/>
  <c r="O16" i="7"/>
  <c r="O13" i="7"/>
  <c r="P13" i="7" s="1"/>
  <c r="P14" i="7" s="1"/>
  <c r="O20" i="7"/>
  <c r="O17" i="7"/>
  <c r="O15" i="7"/>
  <c r="O22" i="7"/>
  <c r="O18" i="7"/>
  <c r="N13" i="7" l="1"/>
  <c r="N14" i="7" s="1"/>
  <c r="N15" i="7" s="1"/>
  <c r="N16" i="7" s="1"/>
  <c r="N17" i="7" s="1"/>
  <c r="N18" i="7" s="1"/>
  <c r="N19" i="7" s="1"/>
  <c r="N20" i="7" s="1"/>
  <c r="N21" i="7" s="1"/>
  <c r="N22" i="7" s="1"/>
  <c r="P15" i="7"/>
  <c r="E28" i="7"/>
  <c r="G15" i="7"/>
  <c r="G16" i="7"/>
  <c r="G17" i="7"/>
  <c r="G18" i="7"/>
  <c r="G19" i="7"/>
  <c r="G20" i="7"/>
  <c r="G21" i="7"/>
  <c r="G22" i="7"/>
  <c r="G23" i="7"/>
  <c r="H14" i="7"/>
  <c r="D27" i="7" s="1"/>
  <c r="D65" i="7" s="1"/>
  <c r="F13" i="7"/>
  <c r="F14" i="7" s="1"/>
  <c r="P16" i="7" l="1"/>
  <c r="F28" i="7"/>
  <c r="F15" i="7"/>
  <c r="F16" i="7" s="1"/>
  <c r="F17" i="7" s="1"/>
  <c r="F18" i="7" s="1"/>
  <c r="F19" i="7" s="1"/>
  <c r="H15" i="7"/>
  <c r="E6" i="7"/>
  <c r="G35" i="6"/>
  <c r="I35" i="6" s="1"/>
  <c r="G36" i="6"/>
  <c r="G37" i="6"/>
  <c r="I37" i="6" s="1"/>
  <c r="J37" i="6" s="1"/>
  <c r="I25" i="6"/>
  <c r="J25" i="6" s="1"/>
  <c r="G20" i="6"/>
  <c r="I20" i="6" s="1"/>
  <c r="J20" i="6" s="1"/>
  <c r="G21" i="6"/>
  <c r="I21" i="6" s="1"/>
  <c r="J21" i="6" s="1"/>
  <c r="G22" i="6"/>
  <c r="I22" i="6" s="1"/>
  <c r="J22" i="6" s="1"/>
  <c r="G23" i="6"/>
  <c r="I23" i="6" s="1"/>
  <c r="J23" i="6" s="1"/>
  <c r="G24" i="6"/>
  <c r="I24" i="6" s="1"/>
  <c r="J24" i="6" s="1"/>
  <c r="G26" i="6"/>
  <c r="G27" i="6"/>
  <c r="I27" i="6" s="1"/>
  <c r="J27" i="6" s="1"/>
  <c r="G28" i="6"/>
  <c r="I28" i="6" s="1"/>
  <c r="J28" i="6" s="1"/>
  <c r="F53" i="4"/>
  <c r="F20" i="7" l="1"/>
  <c r="F21" i="7" s="1"/>
  <c r="F22" i="7" s="1"/>
  <c r="F23" i="7" s="1"/>
  <c r="I26" i="6"/>
  <c r="G30" i="6" s="1"/>
  <c r="J35" i="6"/>
  <c r="G38" i="6"/>
  <c r="I36" i="6"/>
  <c r="J36" i="6" s="1"/>
  <c r="E27" i="7"/>
  <c r="E65" i="7" s="1"/>
  <c r="H16" i="7"/>
  <c r="P17" i="7"/>
  <c r="G28" i="7"/>
  <c r="G29" i="6"/>
  <c r="G9" i="6"/>
  <c r="G7" i="6"/>
  <c r="I7" i="6" s="1"/>
  <c r="J7" i="6" s="1"/>
  <c r="G8" i="6"/>
  <c r="I8" i="6" s="1"/>
  <c r="J8" i="6" s="1"/>
  <c r="G10" i="6"/>
  <c r="G11" i="6"/>
  <c r="G12" i="6"/>
  <c r="G13" i="6"/>
  <c r="C24" i="5"/>
  <c r="C14" i="5"/>
  <c r="I23" i="5"/>
  <c r="I18" i="5"/>
  <c r="I19" i="5"/>
  <c r="I20" i="5"/>
  <c r="I21" i="5"/>
  <c r="I22" i="5"/>
  <c r="I24" i="5" l="1"/>
  <c r="J26" i="6"/>
  <c r="G31" i="6" s="1"/>
  <c r="G40" i="6"/>
  <c r="G39" i="6"/>
  <c r="P18" i="7"/>
  <c r="P19" i="7" s="1"/>
  <c r="P20" i="7" s="1"/>
  <c r="P21" i="7" s="1"/>
  <c r="P22" i="7" s="1"/>
  <c r="H28" i="7"/>
  <c r="H17" i="7"/>
  <c r="F27" i="7"/>
  <c r="F65" i="7" s="1"/>
  <c r="I9" i="6"/>
  <c r="G15" i="6" s="1"/>
  <c r="G14" i="6"/>
  <c r="H18" i="7" l="1"/>
  <c r="G27" i="7"/>
  <c r="G65" i="7" s="1"/>
  <c r="J9" i="6"/>
  <c r="G16" i="6" s="1"/>
  <c r="G42" i="6" s="1"/>
  <c r="D8" i="12" s="1"/>
  <c r="H8" i="8" l="1"/>
  <c r="C13" i="13" s="1"/>
  <c r="H27" i="7"/>
  <c r="H65" i="7" s="1"/>
  <c r="H19" i="7"/>
  <c r="H20" i="7" s="1"/>
  <c r="H21" i="7" s="1"/>
  <c r="H22" i="7" s="1"/>
  <c r="H23" i="7" s="1"/>
  <c r="I13" i="5" l="1"/>
  <c r="I14" i="5" s="1"/>
  <c r="M11" i="5"/>
  <c r="M10" i="5"/>
  <c r="M9" i="5"/>
  <c r="M8" i="5"/>
  <c r="E7" i="5" s="1"/>
  <c r="E55" i="4"/>
  <c r="E48" i="4"/>
  <c r="F52" i="4"/>
  <c r="F55" i="4" s="1"/>
  <c r="F47" i="4"/>
  <c r="F46" i="4"/>
  <c r="F48" i="4" s="1"/>
  <c r="D12" i="12" l="1"/>
  <c r="D21" i="5"/>
  <c r="E21" i="5" s="1"/>
  <c r="F21" i="5" s="1"/>
  <c r="G21" i="5" s="1"/>
  <c r="H21" i="5" s="1"/>
  <c r="D13" i="5"/>
  <c r="E13" i="5" s="1"/>
  <c r="E14" i="5" s="1"/>
  <c r="D17" i="11" s="1"/>
  <c r="E16" i="13" s="1"/>
  <c r="F7" i="5"/>
  <c r="G7" i="5" s="1"/>
  <c r="H7" i="5" s="1"/>
  <c r="D19" i="5"/>
  <c r="E19" i="5" s="1"/>
  <c r="F19" i="5" s="1"/>
  <c r="G19" i="5" s="1"/>
  <c r="H19" i="5" s="1"/>
  <c r="C7" i="7"/>
  <c r="D10" i="12"/>
  <c r="D20" i="5"/>
  <c r="E20" i="5" s="1"/>
  <c r="F20" i="5" s="1"/>
  <c r="G20" i="5" s="1"/>
  <c r="H20" i="5" s="1"/>
  <c r="D18" i="5"/>
  <c r="D23" i="5"/>
  <c r="E23" i="5" s="1"/>
  <c r="F23" i="5" s="1"/>
  <c r="G23" i="5" s="1"/>
  <c r="H23" i="5" s="1"/>
  <c r="D22" i="5"/>
  <c r="E22" i="5" s="1"/>
  <c r="F22" i="5" s="1"/>
  <c r="G22" i="5" s="1"/>
  <c r="H22" i="5" s="1"/>
  <c r="E42" i="4"/>
  <c r="F40" i="4"/>
  <c r="F27" i="4"/>
  <c r="F28" i="4"/>
  <c r="F26" i="4"/>
  <c r="F30" i="4"/>
  <c r="F25" i="4"/>
  <c r="F24" i="4"/>
  <c r="F31" i="4"/>
  <c r="F33" i="4"/>
  <c r="F35" i="4"/>
  <c r="F36" i="4"/>
  <c r="F37" i="4"/>
  <c r="F29" i="4"/>
  <c r="F32" i="4"/>
  <c r="F34" i="4"/>
  <c r="F38" i="4"/>
  <c r="F39" i="4"/>
  <c r="F21" i="4"/>
  <c r="F13" i="4"/>
  <c r="F15" i="4"/>
  <c r="F12" i="4"/>
  <c r="F11" i="4"/>
  <c r="F16" i="4"/>
  <c r="F18" i="4"/>
  <c r="F14" i="4"/>
  <c r="F19" i="4"/>
  <c r="F17" i="4"/>
  <c r="F20" i="4"/>
  <c r="F8" i="4"/>
  <c r="F9" i="4"/>
  <c r="F10" i="4"/>
  <c r="F22" i="4"/>
  <c r="F23" i="4"/>
  <c r="F41" i="4"/>
  <c r="F7" i="4"/>
  <c r="D14" i="5" l="1"/>
  <c r="C17" i="11" s="1"/>
  <c r="D16" i="13" s="1"/>
  <c r="F42" i="4"/>
  <c r="F57" i="4" s="1"/>
  <c r="E18" i="5"/>
  <c r="D24" i="5"/>
  <c r="C16" i="11" s="1"/>
  <c r="F13" i="5"/>
  <c r="H9" i="11" l="1"/>
  <c r="C9" i="11" s="1"/>
  <c r="D13" i="13" s="1"/>
  <c r="C18" i="13"/>
  <c r="C8" i="5"/>
  <c r="D11" i="12"/>
  <c r="C6" i="7"/>
  <c r="F6" i="7" s="1"/>
  <c r="F18" i="5"/>
  <c r="E24" i="5"/>
  <c r="D16" i="11" s="1"/>
  <c r="G13" i="5"/>
  <c r="F14" i="5"/>
  <c r="E17" i="11" s="1"/>
  <c r="F16" i="13" s="1"/>
  <c r="H5" i="8" l="1"/>
  <c r="I8" i="5"/>
  <c r="C11" i="14"/>
  <c r="D9" i="11"/>
  <c r="E13" i="13" s="1"/>
  <c r="C10" i="11"/>
  <c r="G18" i="5"/>
  <c r="H18" i="5" s="1"/>
  <c r="F24" i="5"/>
  <c r="E16" i="11" s="1"/>
  <c r="G14" i="5"/>
  <c r="F17" i="11" s="1"/>
  <c r="G16" i="13" s="1"/>
  <c r="H13" i="5"/>
  <c r="H14" i="5" s="1"/>
  <c r="G17" i="11" s="1"/>
  <c r="H16" i="13" s="1"/>
  <c r="I9" i="5" l="1"/>
  <c r="D8" i="5"/>
  <c r="E8" i="5" s="1"/>
  <c r="F8" i="5" s="1"/>
  <c r="E9" i="11"/>
  <c r="F13" i="13" s="1"/>
  <c r="D10" i="11"/>
  <c r="G24" i="5"/>
  <c r="F16" i="11" s="1"/>
  <c r="H24" i="5"/>
  <c r="G16" i="11" s="1"/>
  <c r="D9" i="5" l="1"/>
  <c r="D26" i="5" s="1"/>
  <c r="H6" i="8" s="1"/>
  <c r="F9" i="11"/>
  <c r="G13" i="13" s="1"/>
  <c r="E10" i="11"/>
  <c r="E9" i="5"/>
  <c r="D15" i="11" s="1"/>
  <c r="E15" i="13" s="1"/>
  <c r="G13" i="2"/>
  <c r="G14" i="2"/>
  <c r="G15" i="2"/>
  <c r="G16" i="2"/>
  <c r="D55" i="1"/>
  <c r="F54" i="1"/>
  <c r="F53" i="1"/>
  <c r="F52" i="1"/>
  <c r="F51" i="1"/>
  <c r="F50" i="1"/>
  <c r="F49" i="1"/>
  <c r="F48" i="1"/>
  <c r="F47" i="1"/>
  <c r="F46" i="1"/>
  <c r="F45" i="1"/>
  <c r="F44" i="1"/>
  <c r="F43" i="1"/>
  <c r="F37" i="1"/>
  <c r="F36" i="1"/>
  <c r="F35" i="1"/>
  <c r="F34" i="1"/>
  <c r="F33" i="1"/>
  <c r="F32" i="1"/>
  <c r="F31" i="1"/>
  <c r="F30" i="1"/>
  <c r="F29" i="1"/>
  <c r="F28" i="1"/>
  <c r="F27" i="1"/>
  <c r="F26" i="1"/>
  <c r="E9" i="1"/>
  <c r="F9" i="1" s="1"/>
  <c r="E10" i="1"/>
  <c r="F10" i="1" s="1"/>
  <c r="E11" i="1"/>
  <c r="F11" i="1" s="1"/>
  <c r="E12" i="1"/>
  <c r="F12" i="1" s="1"/>
  <c r="E13" i="1"/>
  <c r="F13" i="1" s="1"/>
  <c r="E14" i="1"/>
  <c r="F14" i="1" s="1"/>
  <c r="E15" i="1"/>
  <c r="F15" i="1" s="1"/>
  <c r="E16" i="1"/>
  <c r="F16" i="1" s="1"/>
  <c r="E17" i="1"/>
  <c r="F17" i="1" s="1"/>
  <c r="E18" i="1"/>
  <c r="F18" i="1" s="1"/>
  <c r="E19" i="1"/>
  <c r="F19" i="1" s="1"/>
  <c r="E20" i="1"/>
  <c r="F20" i="1" s="1"/>
  <c r="C15" i="11" l="1"/>
  <c r="D15" i="13" s="1"/>
  <c r="G9" i="11"/>
  <c r="F10" i="11"/>
  <c r="G8" i="5"/>
  <c r="F9" i="5"/>
  <c r="E15" i="11" s="1"/>
  <c r="F15" i="13" s="1"/>
  <c r="F55" i="1"/>
  <c r="F38" i="1"/>
  <c r="F10" i="3"/>
  <c r="E10" i="3"/>
  <c r="G10" i="11" l="1"/>
  <c r="H13" i="13"/>
  <c r="H8" i="5"/>
  <c r="H9" i="5" s="1"/>
  <c r="G9" i="5"/>
  <c r="F15" i="11" s="1"/>
  <c r="G15" i="13" s="1"/>
  <c r="L10" i="3"/>
  <c r="N10" i="3"/>
  <c r="P10" i="3"/>
  <c r="Q10" i="3" s="1"/>
  <c r="R10" i="3"/>
  <c r="M10" i="3"/>
  <c r="O10" i="3"/>
  <c r="S10" i="3"/>
  <c r="G10" i="3"/>
  <c r="E9" i="3"/>
  <c r="F9" i="3"/>
  <c r="H26" i="5" l="1"/>
  <c r="G15" i="11"/>
  <c r="H15" i="13" s="1"/>
  <c r="L9" i="3"/>
  <c r="N9" i="3"/>
  <c r="P9" i="3"/>
  <c r="Q9" i="3" s="1"/>
  <c r="R9" i="3"/>
  <c r="M9" i="3"/>
  <c r="O9" i="3"/>
  <c r="S9" i="3"/>
  <c r="I10" i="3"/>
  <c r="H10" i="3"/>
  <c r="T10" i="3"/>
  <c r="G9" i="3"/>
  <c r="J10" i="3" l="1"/>
  <c r="I9" i="3"/>
  <c r="H9" i="3"/>
  <c r="T9" i="3"/>
  <c r="F23" i="18"/>
  <c r="J9" i="3" l="1"/>
  <c r="C14" i="14"/>
  <c r="C15" i="14"/>
  <c r="C13" i="14"/>
  <c r="C12" i="14"/>
  <c r="E7" i="7"/>
  <c r="E8" i="7"/>
  <c r="F6" i="3"/>
  <c r="F7" i="3"/>
  <c r="F8" i="3"/>
  <c r="E7" i="3"/>
  <c r="L7" i="3" s="1"/>
  <c r="E8" i="3"/>
  <c r="L8" i="3" s="1"/>
  <c r="E6" i="3"/>
  <c r="L6" i="3" s="1"/>
  <c r="F7" i="7" l="1"/>
  <c r="G6" i="3"/>
  <c r="M8" i="3"/>
  <c r="N7" i="3"/>
  <c r="O8" i="3"/>
  <c r="R7" i="3"/>
  <c r="M7" i="3"/>
  <c r="O6" i="3"/>
  <c r="P8" i="3"/>
  <c r="Q8" i="3" s="1"/>
  <c r="S6" i="3"/>
  <c r="C8" i="7"/>
  <c r="F8" i="7" s="1"/>
  <c r="N6" i="3"/>
  <c r="P7" i="3"/>
  <c r="Q7" i="3" s="1"/>
  <c r="R6" i="3"/>
  <c r="S8" i="3"/>
  <c r="P6" i="3"/>
  <c r="Q6" i="3" s="1"/>
  <c r="M6" i="3"/>
  <c r="N8" i="3"/>
  <c r="O7" i="3"/>
  <c r="R8" i="3"/>
  <c r="S7" i="3"/>
  <c r="C26" i="5"/>
  <c r="G7" i="3"/>
  <c r="G8" i="3"/>
  <c r="D27" i="5" l="1"/>
  <c r="I8" i="3"/>
  <c r="I6" i="3"/>
  <c r="F9" i="7"/>
  <c r="H18" i="11" s="1"/>
  <c r="C18" i="11" s="1"/>
  <c r="D23" i="13" s="1"/>
  <c r="I7" i="3"/>
  <c r="H6" i="3"/>
  <c r="T6" i="3"/>
  <c r="C22" i="14"/>
  <c r="T7" i="3"/>
  <c r="T8" i="3"/>
  <c r="H7" i="3"/>
  <c r="H8" i="3"/>
  <c r="J8" i="3" l="1"/>
  <c r="D18" i="11"/>
  <c r="E23" i="13" s="1"/>
  <c r="J7" i="3"/>
  <c r="E26" i="5"/>
  <c r="E27" i="5" s="1"/>
  <c r="T11" i="3"/>
  <c r="J6" i="3"/>
  <c r="E18" i="11" l="1"/>
  <c r="F23" i="13" s="1"/>
  <c r="J11" i="3"/>
  <c r="F26" i="5"/>
  <c r="F27" i="5" s="1"/>
  <c r="F18" i="11" l="1"/>
  <c r="G23" i="13" s="1"/>
  <c r="J13" i="3"/>
  <c r="H14" i="11" s="1"/>
  <c r="C14" i="11" s="1"/>
  <c r="J12" i="3"/>
  <c r="G26" i="5"/>
  <c r="G27" i="5" s="1"/>
  <c r="H27" i="5"/>
  <c r="H7" i="8" l="1"/>
  <c r="C17" i="13" s="1"/>
  <c r="D14" i="11"/>
  <c r="D17" i="13"/>
  <c r="G18" i="11"/>
  <c r="H23" i="13" s="1"/>
  <c r="H9" i="8" l="1"/>
  <c r="E14" i="11"/>
  <c r="E17" i="13"/>
  <c r="I12" i="8" l="1"/>
  <c r="C9" i="8" s="1"/>
  <c r="C10" i="13" s="1"/>
  <c r="I13" i="8"/>
  <c r="F14" i="11"/>
  <c r="F17" i="13"/>
  <c r="E9" i="8" l="1"/>
  <c r="C10" i="8"/>
  <c r="D10" i="8"/>
  <c r="C5" i="10"/>
  <c r="G14" i="11"/>
  <c r="H17" i="13" s="1"/>
  <c r="G17" i="13"/>
  <c r="C9" i="13" l="1"/>
  <c r="E10" i="8"/>
  <c r="E16" i="8" s="1"/>
  <c r="D6" i="12" s="1"/>
  <c r="D15" i="12"/>
  <c r="D17" i="12" s="1"/>
  <c r="C8" i="10"/>
  <c r="D11" i="10"/>
  <c r="D12" i="10"/>
  <c r="D15" i="10"/>
  <c r="D23" i="10"/>
  <c r="D31" i="10"/>
  <c r="D39" i="10"/>
  <c r="D47" i="10"/>
  <c r="D55" i="10"/>
  <c r="D34" i="10"/>
  <c r="D54" i="10"/>
  <c r="D20" i="10"/>
  <c r="D28" i="10"/>
  <c r="D36" i="10"/>
  <c r="D44" i="10"/>
  <c r="D52" i="10"/>
  <c r="D14" i="10"/>
  <c r="D38" i="10"/>
  <c r="D13" i="10"/>
  <c r="D21" i="10"/>
  <c r="D29" i="10"/>
  <c r="D37" i="10"/>
  <c r="D45" i="10"/>
  <c r="D53" i="10"/>
  <c r="D18" i="10"/>
  <c r="D42" i="10"/>
  <c r="C11" i="10"/>
  <c r="D19" i="10"/>
  <c r="D27" i="10"/>
  <c r="D35" i="10"/>
  <c r="D43" i="10"/>
  <c r="D51" i="10"/>
  <c r="D22" i="10"/>
  <c r="D46" i="10"/>
  <c r="D16" i="10"/>
  <c r="D24" i="10"/>
  <c r="D32" i="10"/>
  <c r="D40" i="10"/>
  <c r="D48" i="10"/>
  <c r="D56" i="10"/>
  <c r="D26" i="10"/>
  <c r="D50" i="10"/>
  <c r="D17" i="10"/>
  <c r="D25" i="10"/>
  <c r="D33" i="10"/>
  <c r="D41" i="10"/>
  <c r="D49" i="10"/>
  <c r="D57" i="10"/>
  <c r="D30" i="10"/>
  <c r="D58" i="10"/>
  <c r="C5" i="18"/>
  <c r="C9" i="18" s="1"/>
  <c r="D8" i="13" l="1"/>
  <c r="I6" i="8" s="1"/>
  <c r="C27" i="13"/>
  <c r="C31" i="13" s="1"/>
  <c r="E11" i="10"/>
  <c r="C12" i="10"/>
  <c r="H34" i="10"/>
  <c r="E21" i="13" s="1"/>
  <c r="F11" i="10"/>
  <c r="F12" i="10"/>
  <c r="F20" i="10"/>
  <c r="F28" i="10"/>
  <c r="F36" i="10"/>
  <c r="F44" i="10"/>
  <c r="F52" i="10"/>
  <c r="F41" i="10"/>
  <c r="F53" i="10"/>
  <c r="F39" i="10"/>
  <c r="F13" i="10"/>
  <c r="F21" i="10"/>
  <c r="F29" i="10"/>
  <c r="F37" i="10"/>
  <c r="F57" i="10"/>
  <c r="F31" i="10"/>
  <c r="F55" i="10"/>
  <c r="F18" i="10"/>
  <c r="F26" i="10"/>
  <c r="F34" i="10"/>
  <c r="F42" i="10"/>
  <c r="F50" i="10"/>
  <c r="F58" i="10"/>
  <c r="F27" i="10"/>
  <c r="F47" i="10"/>
  <c r="F59" i="10"/>
  <c r="J70" i="10" s="1"/>
  <c r="F16" i="10"/>
  <c r="F24" i="10"/>
  <c r="F32" i="10"/>
  <c r="F40" i="10"/>
  <c r="F48" i="10"/>
  <c r="F56" i="10"/>
  <c r="F49" i="10"/>
  <c r="F23" i="10"/>
  <c r="F51" i="10"/>
  <c r="F17" i="10"/>
  <c r="F25" i="10"/>
  <c r="F33" i="10"/>
  <c r="F45" i="10"/>
  <c r="F19" i="10"/>
  <c r="F43" i="10"/>
  <c r="F14" i="10"/>
  <c r="F22" i="10"/>
  <c r="F30" i="10"/>
  <c r="F38" i="10"/>
  <c r="F46" i="10"/>
  <c r="F54" i="10"/>
  <c r="F15" i="10"/>
  <c r="F35" i="10"/>
  <c r="C21" i="14"/>
  <c r="H46" i="10"/>
  <c r="F21" i="13" s="1"/>
  <c r="H22" i="10"/>
  <c r="D21" i="13" s="1"/>
  <c r="D7" i="18"/>
  <c r="D6" i="18"/>
  <c r="D13" i="12"/>
  <c r="H58" i="10"/>
  <c r="G21" i="13" s="1"/>
  <c r="E8" i="13" l="1"/>
  <c r="F8" i="13" s="1"/>
  <c r="G8" i="13" s="1"/>
  <c r="H8" i="13" s="1"/>
  <c r="G11" i="10"/>
  <c r="J46" i="10"/>
  <c r="J58" i="10"/>
  <c r="J22" i="10"/>
  <c r="E12" i="10"/>
  <c r="G12" i="10" s="1"/>
  <c r="C13" i="10"/>
  <c r="J34" i="10"/>
  <c r="D9" i="18"/>
  <c r="D19" i="12"/>
  <c r="D20" i="12" s="1"/>
  <c r="D22" i="12" s="1"/>
  <c r="C11" i="13"/>
  <c r="G11" i="14"/>
  <c r="C14" i="10" l="1"/>
  <c r="E13" i="10"/>
  <c r="G13" i="10" s="1"/>
  <c r="D21" i="1"/>
  <c r="E14" i="10" l="1"/>
  <c r="G14" i="10" s="1"/>
  <c r="C15" i="10"/>
  <c r="F21" i="1"/>
  <c r="F58" i="1" s="1"/>
  <c r="C6" i="2" s="1"/>
  <c r="C16" i="10" l="1"/>
  <c r="E15" i="10"/>
  <c r="G15" i="10" s="1"/>
  <c r="C6" i="11"/>
  <c r="D6" i="2"/>
  <c r="D7" i="2" s="1"/>
  <c r="D6" i="13"/>
  <c r="D11" i="13" s="1"/>
  <c r="D29" i="13" s="1"/>
  <c r="C12" i="2"/>
  <c r="C7" i="11"/>
  <c r="C11" i="11" s="1"/>
  <c r="C12" i="11" s="1"/>
  <c r="E16" i="10" l="1"/>
  <c r="G16" i="10" s="1"/>
  <c r="C17" i="10"/>
  <c r="C13" i="2"/>
  <c r="E6" i="2"/>
  <c r="E7" i="2" s="1"/>
  <c r="D6" i="11"/>
  <c r="D7" i="11" s="1"/>
  <c r="D11" i="11" s="1"/>
  <c r="D19" i="11" s="1"/>
  <c r="E6" i="13"/>
  <c r="E11" i="13" s="1"/>
  <c r="E29" i="13" s="1"/>
  <c r="C19" i="11"/>
  <c r="C21" i="11" l="1"/>
  <c r="C22" i="11"/>
  <c r="C20" i="14" s="1"/>
  <c r="E17" i="10"/>
  <c r="G17" i="10" s="1"/>
  <c r="C18" i="10"/>
  <c r="D12" i="11"/>
  <c r="E6" i="11"/>
  <c r="E7" i="11" s="1"/>
  <c r="E11" i="11" s="1"/>
  <c r="E19" i="11" s="1"/>
  <c r="F6" i="13"/>
  <c r="F11" i="13" s="1"/>
  <c r="F29" i="13" s="1"/>
  <c r="D21" i="11"/>
  <c r="D22" i="11"/>
  <c r="C14" i="2"/>
  <c r="F6" i="2"/>
  <c r="F7" i="2" s="1"/>
  <c r="D22" i="13" l="1"/>
  <c r="C19" i="10"/>
  <c r="E18" i="10"/>
  <c r="G18" i="10" s="1"/>
  <c r="G6" i="2"/>
  <c r="G6" i="13"/>
  <c r="G11" i="13" s="1"/>
  <c r="G29" i="13" s="1"/>
  <c r="C23" i="14"/>
  <c r="G16" i="14" s="1"/>
  <c r="E22" i="13"/>
  <c r="E21" i="11"/>
  <c r="E22" i="11"/>
  <c r="E12" i="11"/>
  <c r="F6" i="11"/>
  <c r="F7" i="11" s="1"/>
  <c r="C15" i="2"/>
  <c r="H6" i="13" l="1"/>
  <c r="H11" i="13" s="1"/>
  <c r="H29" i="13" s="1"/>
  <c r="G7" i="2"/>
  <c r="E19" i="10"/>
  <c r="G19" i="10" s="1"/>
  <c r="C20" i="10"/>
  <c r="C33" i="13"/>
  <c r="F22" i="13"/>
  <c r="F11" i="11"/>
  <c r="F19" i="11" s="1"/>
  <c r="C16" i="2"/>
  <c r="G6" i="11"/>
  <c r="G7" i="11" s="1"/>
  <c r="E20" i="10" l="1"/>
  <c r="G20" i="10" s="1"/>
  <c r="C21" i="10"/>
  <c r="G11" i="11"/>
  <c r="G19" i="11" s="1"/>
  <c r="F21" i="11"/>
  <c r="F22" i="11"/>
  <c r="F12" i="11"/>
  <c r="E21" i="10" l="1"/>
  <c r="G21" i="10" s="1"/>
  <c r="C22" i="10"/>
  <c r="G22" i="13"/>
  <c r="G21" i="11"/>
  <c r="G22" i="11"/>
  <c r="G12" i="11"/>
  <c r="E22" i="10" l="1"/>
  <c r="C23" i="10"/>
  <c r="G24" i="11"/>
  <c r="H22" i="13"/>
  <c r="H24" i="13" s="1"/>
  <c r="C24" i="10" l="1"/>
  <c r="E23" i="10"/>
  <c r="G23" i="10" s="1"/>
  <c r="I22" i="10"/>
  <c r="G22" i="10"/>
  <c r="H30" i="13"/>
  <c r="H25" i="13"/>
  <c r="K22" i="10" l="1"/>
  <c r="C20" i="11" s="1"/>
  <c r="C24" i="11" s="1"/>
  <c r="D20" i="13"/>
  <c r="D24" i="13" s="1"/>
  <c r="C25" i="10"/>
  <c r="E24" i="10"/>
  <c r="G24" i="10" s="1"/>
  <c r="H31" i="13"/>
  <c r="H26" i="13"/>
  <c r="D25" i="13" l="1"/>
  <c r="D30" i="13"/>
  <c r="C26" i="10"/>
  <c r="E25" i="10"/>
  <c r="G25" i="10" s="1"/>
  <c r="E26" i="10" l="1"/>
  <c r="G26" i="10" s="1"/>
  <c r="C27" i="10"/>
  <c r="D26" i="13"/>
  <c r="D31" i="13"/>
  <c r="D32" i="13" s="1"/>
  <c r="C28" i="10" l="1"/>
  <c r="E27" i="10"/>
  <c r="G27" i="10" s="1"/>
  <c r="C29" i="10" l="1"/>
  <c r="E28" i="10"/>
  <c r="G28" i="10" s="1"/>
  <c r="E29" i="10" l="1"/>
  <c r="G29" i="10" s="1"/>
  <c r="C30" i="10"/>
  <c r="C31" i="10" l="1"/>
  <c r="E30" i="10"/>
  <c r="G30" i="10" s="1"/>
  <c r="C32" i="10" l="1"/>
  <c r="E31" i="10"/>
  <c r="G31" i="10" s="1"/>
  <c r="C33" i="10" l="1"/>
  <c r="E32" i="10"/>
  <c r="G32" i="10" s="1"/>
  <c r="C34" i="10" l="1"/>
  <c r="E33" i="10"/>
  <c r="G33" i="10" s="1"/>
  <c r="E34" i="10" l="1"/>
  <c r="C35" i="10"/>
  <c r="E35" i="10" l="1"/>
  <c r="G35" i="10" s="1"/>
  <c r="C36" i="10"/>
  <c r="G34" i="10"/>
  <c r="L34" i="10" s="1"/>
  <c r="I34" i="10"/>
  <c r="E20" i="13" l="1"/>
  <c r="E24" i="13" s="1"/>
  <c r="K34" i="10"/>
  <c r="D20" i="11" s="1"/>
  <c r="D24" i="11" s="1"/>
  <c r="C37" i="10"/>
  <c r="E36" i="10"/>
  <c r="G36" i="10" s="1"/>
  <c r="E37" i="10" l="1"/>
  <c r="G37" i="10" s="1"/>
  <c r="C38" i="10"/>
  <c r="E30" i="13"/>
  <c r="E25" i="13"/>
  <c r="E31" i="13" l="1"/>
  <c r="E32" i="13" s="1"/>
  <c r="H40" i="13" s="1"/>
  <c r="E26" i="13"/>
  <c r="E38" i="10"/>
  <c r="G38" i="10" s="1"/>
  <c r="C39" i="10"/>
  <c r="E39" i="10" l="1"/>
  <c r="G39" i="10" s="1"/>
  <c r="C40" i="10"/>
  <c r="E40" i="10" l="1"/>
  <c r="G40" i="10" s="1"/>
  <c r="C41" i="10"/>
  <c r="C42" i="10" l="1"/>
  <c r="E41" i="10"/>
  <c r="G41" i="10" s="1"/>
  <c r="C43" i="10" l="1"/>
  <c r="E42" i="10"/>
  <c r="G42" i="10" s="1"/>
  <c r="C44" i="10" l="1"/>
  <c r="E43" i="10"/>
  <c r="G43" i="10" s="1"/>
  <c r="E44" i="10" l="1"/>
  <c r="G44" i="10" s="1"/>
  <c r="C45" i="10"/>
  <c r="C46" i="10" l="1"/>
  <c r="E45" i="10"/>
  <c r="G45" i="10" s="1"/>
  <c r="E46" i="10" l="1"/>
  <c r="C47" i="10"/>
  <c r="C48" i="10" l="1"/>
  <c r="E47" i="10"/>
  <c r="G47" i="10" s="1"/>
  <c r="G46" i="10"/>
  <c r="L46" i="10" s="1"/>
  <c r="I46" i="10"/>
  <c r="F20" i="13" l="1"/>
  <c r="F24" i="13" s="1"/>
  <c r="K46" i="10"/>
  <c r="E20" i="11" s="1"/>
  <c r="E24" i="11" s="1"/>
  <c r="E48" i="10"/>
  <c r="G48" i="10" s="1"/>
  <c r="C49" i="10"/>
  <c r="C50" i="10" l="1"/>
  <c r="E49" i="10"/>
  <c r="G49" i="10" s="1"/>
  <c r="F25" i="13"/>
  <c r="F30" i="13"/>
  <c r="F31" i="13" l="1"/>
  <c r="F32" i="13" s="1"/>
  <c r="F26" i="13"/>
  <c r="C51" i="10"/>
  <c r="E50" i="10"/>
  <c r="G50" i="10" s="1"/>
  <c r="C52" i="10" l="1"/>
  <c r="E51" i="10"/>
  <c r="G51" i="10" s="1"/>
  <c r="C53" i="10" l="1"/>
  <c r="E52" i="10"/>
  <c r="G52" i="10" s="1"/>
  <c r="E53" i="10" l="1"/>
  <c r="G53" i="10" s="1"/>
  <c r="C54" i="10"/>
  <c r="E54" i="10" l="1"/>
  <c r="G54" i="10" s="1"/>
  <c r="C55" i="10"/>
  <c r="C56" i="10" l="1"/>
  <c r="E55" i="10"/>
  <c r="G55" i="10" s="1"/>
  <c r="C57" i="10" l="1"/>
  <c r="E56" i="10"/>
  <c r="G56" i="10" s="1"/>
  <c r="C58" i="10" l="1"/>
  <c r="E57" i="10"/>
  <c r="G57" i="10" s="1"/>
  <c r="E58" i="10" l="1"/>
  <c r="C59" i="10"/>
  <c r="D59" i="10" l="1"/>
  <c r="E59" i="10"/>
  <c r="I70" i="10" s="1"/>
  <c r="K70" i="10" s="1"/>
  <c r="I58" i="10"/>
  <c r="G58" i="10"/>
  <c r="L58" i="10" s="1"/>
  <c r="G20" i="13" l="1"/>
  <c r="G24" i="13" s="1"/>
  <c r="K58" i="10"/>
  <c r="F20" i="11" s="1"/>
  <c r="F24" i="11" s="1"/>
  <c r="G59" i="10"/>
  <c r="L70" i="10" s="1"/>
  <c r="H70" i="10"/>
  <c r="G25" i="13" l="1"/>
  <c r="G30" i="13"/>
  <c r="C34" i="13" s="1"/>
  <c r="C35" i="13" s="1"/>
  <c r="H39" i="13" s="1"/>
  <c r="G31" i="13" l="1"/>
  <c r="G26" i="13"/>
  <c r="H38" i="13" l="1"/>
  <c r="G32" i="13"/>
  <c r="H32" i="13" s="1"/>
  <c r="H37" i="13"/>
  <c r="C15" i="13"/>
  <c r="C24" i="13" l="1"/>
  <c r="C25" i="13" s="1"/>
</calcChain>
</file>

<file path=xl/comments1.xml><?xml version="1.0" encoding="utf-8"?>
<comments xmlns="http://schemas.openxmlformats.org/spreadsheetml/2006/main">
  <authors>
    <author>Autor</author>
  </authors>
  <commentList>
    <comment ref="S5" authorId="0">
      <text>
        <r>
          <rPr>
            <b/>
            <sz val="9"/>
            <color indexed="81"/>
            <rFont val="Tahoma"/>
            <family val="2"/>
          </rPr>
          <t>Riesgo I</t>
        </r>
      </text>
    </comment>
  </commentList>
</comments>
</file>

<file path=xl/sharedStrings.xml><?xml version="1.0" encoding="utf-8"?>
<sst xmlns="http://schemas.openxmlformats.org/spreadsheetml/2006/main" count="1611" uniqueCount="607">
  <si>
    <t>POBLACION EN RANGO DE EDAD</t>
  </si>
  <si>
    <t>14-70 años</t>
  </si>
  <si>
    <t>TASA DE OBESIDAD</t>
  </si>
  <si>
    <t>NO VA</t>
  </si>
  <si>
    <t>Habitantes de la comuna 4</t>
  </si>
  <si>
    <t>ESTRATOS DOS Y MAS</t>
  </si>
  <si>
    <t>Filtro 1</t>
  </si>
  <si>
    <t>Filtro 2</t>
  </si>
  <si>
    <t>Filtro 3</t>
  </si>
  <si>
    <t>Filtro 4</t>
  </si>
  <si>
    <t>Filtro 5</t>
  </si>
  <si>
    <t>Filtro 6</t>
  </si>
  <si>
    <t>Años</t>
  </si>
  <si>
    <t>Población comuna 4</t>
  </si>
  <si>
    <t>Población comuna 4 con obesidad (39%)</t>
  </si>
  <si>
    <t>Rango de Edad (14-70 años) (74,70%)</t>
  </si>
  <si>
    <t>Población estrato 2 en adelante (95%)</t>
  </si>
  <si>
    <t>Personas que compran el producto estimado en un 15%</t>
  </si>
  <si>
    <t>Demanda del producto (2 veces al año)</t>
  </si>
  <si>
    <t>TOTAL COMUNA 4</t>
  </si>
  <si>
    <t>FILTRO OBSESIDAD</t>
  </si>
  <si>
    <t>EDAD</t>
  </si>
  <si>
    <t>ESTRATO DOS O MAS</t>
  </si>
  <si>
    <t xml:space="preserve">Según el anuario estadístico Municipal de ibagué 2016-2017 la proyección de la población de la comuna 4  es el 8% del total de la pobación de Ibagué para el 2019 Mismo porcentaje usado para el filtro 4 </t>
  </si>
  <si>
    <t>%</t>
  </si>
  <si>
    <t>chrome-extension://efaidnbmnnnibpcajpcglclefindmkaj/https://www.ibague.gov.co/portal/admin/archivos/publicaciones/2018/19792-DOC-20180220.pdf</t>
  </si>
  <si>
    <t xml:space="preserve">Modificar </t>
  </si>
  <si>
    <t>Estimacion del Proyecto</t>
  </si>
  <si>
    <t>Tamaño Recomendado (brecha de mercado)</t>
  </si>
  <si>
    <t>To</t>
  </si>
  <si>
    <t>Demanda actual</t>
  </si>
  <si>
    <t>Do</t>
  </si>
  <si>
    <t>Tasa de crecimiento del mercado</t>
  </si>
  <si>
    <t>r</t>
  </si>
  <si>
    <t>Periodo optimo</t>
  </si>
  <si>
    <t>k</t>
  </si>
  <si>
    <t>Tamaño del Proyecto</t>
  </si>
  <si>
    <t>Año 1</t>
  </si>
  <si>
    <t>Año 2</t>
  </si>
  <si>
    <t>Año 3</t>
  </si>
  <si>
    <t>Año 4</t>
  </si>
  <si>
    <t>Año 5</t>
  </si>
  <si>
    <t>Capacidad diseñada</t>
  </si>
  <si>
    <t>Capacidad Instalada</t>
  </si>
  <si>
    <t>Capacidad diseñada por utilización</t>
  </si>
  <si>
    <t>Capacidad Real</t>
  </si>
  <si>
    <t>Capacidad instalado por utilización</t>
  </si>
  <si>
    <t>Utilización (%)</t>
  </si>
  <si>
    <t>El porcentaje que esperamos hacer</t>
  </si>
  <si>
    <t>T.0</t>
  </si>
  <si>
    <t>Proyección de Ventas por Mes</t>
  </si>
  <si>
    <t xml:space="preserve">Mes </t>
  </si>
  <si>
    <t xml:space="preserve">WELL-LIFE GYM </t>
  </si>
  <si>
    <t>Alta</t>
  </si>
  <si>
    <t>76% a 100%</t>
  </si>
  <si>
    <t>Capacidad mensual</t>
  </si>
  <si>
    <t>Media</t>
  </si>
  <si>
    <t>51% a 75%</t>
  </si>
  <si>
    <t>Baja</t>
  </si>
  <si>
    <t>30% a 50%</t>
  </si>
  <si>
    <t xml:space="preserve">Temporalidad </t>
  </si>
  <si>
    <t>Servicio GYM normal</t>
  </si>
  <si>
    <t>Mes</t>
  </si>
  <si>
    <t>Ocupación</t>
  </si>
  <si>
    <t>Unidades</t>
  </si>
  <si>
    <t>Precio</t>
  </si>
  <si>
    <t>Total</t>
  </si>
  <si>
    <t>BCG</t>
  </si>
  <si>
    <t xml:space="preserve">Productos </t>
  </si>
  <si>
    <t xml:space="preserve">Precio </t>
  </si>
  <si>
    <t xml:space="preserve">Porcentaje </t>
  </si>
  <si>
    <t xml:space="preserve">Cantidad </t>
  </si>
  <si>
    <t xml:space="preserve">Baja </t>
  </si>
  <si>
    <t>ENERO</t>
  </si>
  <si>
    <t xml:space="preserve">Estrella </t>
  </si>
  <si>
    <t xml:space="preserve">Servicio GYM normal </t>
  </si>
  <si>
    <t xml:space="preserve">Alta </t>
  </si>
  <si>
    <t>FEBRERO</t>
  </si>
  <si>
    <t xml:space="preserve">Interrogante </t>
  </si>
  <si>
    <t xml:space="preserve">Clases virtuales </t>
  </si>
  <si>
    <t>MARZO</t>
  </si>
  <si>
    <t xml:space="preserve">Vaca </t>
  </si>
  <si>
    <t xml:space="preserve">Clases TRX </t>
  </si>
  <si>
    <t>ABRIL</t>
  </si>
  <si>
    <t xml:space="preserve">Media </t>
  </si>
  <si>
    <t>MAYO</t>
  </si>
  <si>
    <t>JUNIO</t>
  </si>
  <si>
    <t>JULIO</t>
  </si>
  <si>
    <t>AGOSTO</t>
  </si>
  <si>
    <t>SEPTIEMBRE</t>
  </si>
  <si>
    <t>OCTUBRE</t>
  </si>
  <si>
    <t>NOVIEMBRE</t>
  </si>
  <si>
    <t>DICIEMBRE</t>
  </si>
  <si>
    <t xml:space="preserve">Capacidad mensual del servicio </t>
  </si>
  <si>
    <t xml:space="preserve">Clases de TRX </t>
  </si>
  <si>
    <t xml:space="preserve">Total ventas de los tres productos </t>
  </si>
  <si>
    <t>Presupuesto de Ventas Proyectado Anualmente</t>
  </si>
  <si>
    <t>Ventas Anuales</t>
  </si>
  <si>
    <t xml:space="preserve">VENTAS </t>
  </si>
  <si>
    <t>$</t>
  </si>
  <si>
    <t>IPC</t>
  </si>
  <si>
    <t>Politica de Ventas</t>
  </si>
  <si>
    <t>Total % Crecimiento</t>
  </si>
  <si>
    <t>AÑO 1</t>
  </si>
  <si>
    <t>AÑO 2</t>
  </si>
  <si>
    <t>AÑO 3</t>
  </si>
  <si>
    <t>AÑO 4</t>
  </si>
  <si>
    <t>AÑO 5</t>
  </si>
  <si>
    <t>Nómina</t>
  </si>
  <si>
    <t>ICBF</t>
  </si>
  <si>
    <t>SENA</t>
  </si>
  <si>
    <t>Salud</t>
  </si>
  <si>
    <t>Pensión</t>
  </si>
  <si>
    <t>Cesantías</t>
  </si>
  <si>
    <t>Int. Cesantías</t>
  </si>
  <si>
    <t>CCF</t>
  </si>
  <si>
    <t>ARL</t>
  </si>
  <si>
    <t>Cargo</t>
  </si>
  <si>
    <t>Valor
Sueldo</t>
  </si>
  <si>
    <t>Auxilio de
transporte</t>
  </si>
  <si>
    <t>Total
devengado</t>
  </si>
  <si>
    <t>Deducciones
(Salud-Pensión)</t>
  </si>
  <si>
    <t>Total
Nómina</t>
  </si>
  <si>
    <t>Componente
Prestacional</t>
  </si>
  <si>
    <t>Componente seg. social (Pensión)
y parafiscales (ARL y CCF)</t>
  </si>
  <si>
    <t>Subtotal</t>
  </si>
  <si>
    <t>Gerente</t>
  </si>
  <si>
    <t xml:space="preserve">Nutricionista </t>
  </si>
  <si>
    <t xml:space="preserve">Intructora </t>
  </si>
  <si>
    <t xml:space="preserve">Instructor </t>
  </si>
  <si>
    <t xml:space="preserve">Aseador </t>
  </si>
  <si>
    <t>Total trimestral</t>
  </si>
  <si>
    <t>Total anual</t>
  </si>
  <si>
    <t>Presupuesto Maquinaria</t>
  </si>
  <si>
    <t>MAQUINARIA Y EQUIPO 1520</t>
  </si>
  <si>
    <t>Nombre</t>
  </si>
  <si>
    <t>Descripción</t>
  </si>
  <si>
    <t>Cantidad</t>
  </si>
  <si>
    <t>Costo</t>
  </si>
  <si>
    <t>Polea doble</t>
  </si>
  <si>
    <t>Marca: IF INDUSTRIAS FITNESS. Largo: 1,27 m. Ancho: 1,62 m. Alto: 2,12 m. Capacidad: 100 kg</t>
  </si>
  <si>
    <t>Prensa</t>
  </si>
  <si>
    <t>Marca: IF INDUSTRIAS FITNESS. 238 cm de largo x 171 cm de ancho x 143,5 cm de alto. Capacidad: 500 kg</t>
  </si>
  <si>
    <t>Hack squat</t>
  </si>
  <si>
    <t xml:space="preserve">Marca: IF INDUSTRIAS FITNESS. Largo x Ancho x Alto 240 x 92 x 151 cm. Peso: 235 kg. Capacidad: 600 kg  </t>
  </si>
  <si>
    <t>Extensor de cuádriceps</t>
  </si>
  <si>
    <t xml:space="preserve">Marca: IF INDUSTRIAS FITNESS. Largo: 136 cm. Ancho: 137 cm. Alto: 113 cm. Capacidad: 50 kg </t>
  </si>
  <si>
    <t>Máquina Femoral acostada</t>
  </si>
  <si>
    <t xml:space="preserve">Marca: IF INDUSTRIAS FITNESS. Largo: 155 cm. Ancho: 119 cm. Alto: 170 cm. Capacidad: 45kg </t>
  </si>
  <si>
    <t>Rack de sentadilla</t>
  </si>
  <si>
    <t xml:space="preserve">Marca: IF INDUSTRIAS FITNESS. Largo: 186 cm. Ancho: 165 cm. Alto: 201 cm. Capacidad: 400 kg </t>
  </si>
  <si>
    <t>Máquina Smith</t>
  </si>
  <si>
    <t>Marca: IF INDUSTRIAS FITNESS. Largo: 180 cm. Ancho: 150 cm. Alto: 210 cm. Capacidad: 286 kg</t>
  </si>
  <si>
    <t>Máquina de abductor</t>
  </si>
  <si>
    <t xml:space="preserve">Marca: IF INDUSTRIAS FITNESS. Largo: 173 cm, Ancho. 170 cm. Alto: 135 cm. Capacidad: 71,25 kg </t>
  </si>
  <si>
    <t xml:space="preserve">Hip Thrust </t>
  </si>
  <si>
    <t>Marca: IF INDUSTRIAS FITNESS. Ancho: 150 cm. Longitud: 200 cm</t>
  </si>
  <si>
    <t xml:space="preserve">Polea dorsal </t>
  </si>
  <si>
    <t xml:space="preserve">Marca: IF INDUSTRIAS FITNESS. 203 cm X 150 cm X 208 cm </t>
  </si>
  <si>
    <t>Máquina de pantorrilla</t>
  </si>
  <si>
    <t xml:space="preserve">Marca: IF INDUSTRIAS FITNESS. Largo: 129,54 cm, Ancho. 66,04 cm. Alto: 80 cm. Capacidad: 150,25 kg  </t>
  </si>
  <si>
    <t xml:space="preserve">Barras olímpicas </t>
  </si>
  <si>
    <t xml:space="preserve">Marca: IF INDUSTRIAS FITNESS. Longitud: 2,2 m. Diámetro: 2,8 cm. Ancho: 5 cm. Capacidad: 450 kg   </t>
  </si>
  <si>
    <t>Discos 2,5 kg</t>
  </si>
  <si>
    <t>Marca: IF INDUSTRIAS FITNESS. Diámetro 20 cm. Grosor: 4 cm.</t>
  </si>
  <si>
    <t>Discos 5 kg</t>
  </si>
  <si>
    <t>Marca: IF INDUSTRIAS FITNESS. Diámetro 23 cm. Grosor: 2,5 cm</t>
  </si>
  <si>
    <t>Discos 10 kg</t>
  </si>
  <si>
    <t>Marca: IF INDUSTRIAS FITNESS. Diámetro 31,5 cm. Grosor: 4 cm.</t>
  </si>
  <si>
    <t>Discos 15 kg</t>
  </si>
  <si>
    <t>Marca: IF INDUSTRIAS FITNESS. Diámetro 32 cm. Grosor: 4 cm.</t>
  </si>
  <si>
    <t>Discos 20 kg</t>
  </si>
  <si>
    <t>Marca: IF INDUSTRIAS FITNESS. Diámetro 34 cm. Grosor: 4 cm.</t>
  </si>
  <si>
    <t>Mancuernas</t>
  </si>
  <si>
    <t>Marca: IF INDUSTRIAS FITNESS. Diámetro: 3 cm. Longitud: 36 cm.</t>
  </si>
  <si>
    <t>Colchonetas</t>
  </si>
  <si>
    <t xml:space="preserve">Marca: IF INDUSTRIAS FITNESS. Ancho: 1 m. Altura: 1,2 m. Grosor: 3 cm.  </t>
  </si>
  <si>
    <t>Sogas de cardio</t>
  </si>
  <si>
    <t xml:space="preserve">Marca: IF INDUSTRIAS FITNESS. Ancho: 5 cm. Largo: 9,2 m. </t>
  </si>
  <si>
    <t>Pelotas</t>
  </si>
  <si>
    <t xml:space="preserve">Marca: IF INDUSTRIAS FITNESS. 55 cm de diámetro, para personas entre 1,50-1,80 de altura. 65 cm de diámetro. </t>
  </si>
  <si>
    <t>Spinning</t>
  </si>
  <si>
    <t xml:space="preserve">Marca: SPORT FITNESS. Largo: 120,7 cm. Ancho: 57,2 cm. Altura: 122 cm. Capacidad máxima para el usuario: 136 kg. </t>
  </si>
  <si>
    <t>TRX</t>
  </si>
  <si>
    <t>Marca: IF INDUSTRIAS FITNESS. Longitud: 2 m.</t>
  </si>
  <si>
    <t xml:space="preserve">Estante de mancuernas </t>
  </si>
  <si>
    <t xml:space="preserve">Marca: IF INDUSTRIAS FITNESS. Alto: 1 metro. Ancho: 1,30 metros. </t>
  </si>
  <si>
    <t>Elíptica</t>
  </si>
  <si>
    <t xml:space="preserve">Marca: SPORT FITNESS. Alto: 122 cm. Ancho: 63,5 cm. Largo: 143 cm. Capacidad: 100 km/h. </t>
  </si>
  <si>
    <t>Sacos de boxeo</t>
  </si>
  <si>
    <t xml:space="preserve">Marca: IF INDUSTRIAS FITNESS. Diámetro: 33 cm. Largo 150 cm.  </t>
  </si>
  <si>
    <t>Banco plano</t>
  </si>
  <si>
    <t xml:space="preserve">Marca: IF INDUSTRIAS FITNESS. Alto del espaldar: 45 cm. Alto del banco: 128 cm. Ancho del banco: 118 cm. Capacidad: 350 kg </t>
  </si>
  <si>
    <t>Banco inclinado</t>
  </si>
  <si>
    <t>Marca: IF INDUSTRIAS FITNESS. Largo: 1,96 m. Ancho. 1,5 m. Altura: 1,4 m. Capacidad: 200 kg.</t>
  </si>
  <si>
    <t>Banco declinado</t>
  </si>
  <si>
    <t>Marca: IF INDUSTRIAS FITNESS. Largo: 1,75 m. Ancho: 1,92 m. Alto: 1,12 m. Capacidad: 200 kg.</t>
  </si>
  <si>
    <t>Báscula</t>
  </si>
  <si>
    <t xml:space="preserve">Marca: IF INDUSTRIAS FITNESS. Largo: 12,9. Ancho: 12,6 Pulgadas.  </t>
  </si>
  <si>
    <t>Medidor de grasa</t>
  </si>
  <si>
    <t xml:space="preserve">Marca: IF INDUSTRIAS FITNESS. Largo: 20,3 cm. Ancho: 5 cm. </t>
  </si>
  <si>
    <t>Tapizado</t>
  </si>
  <si>
    <t xml:space="preserve">Marca: IF INDUSTRIAS FITNESS. 50 cm X 50 cm cuadrados. Grosor 1 cm. </t>
  </si>
  <si>
    <t>Cronometro</t>
  </si>
  <si>
    <t xml:space="preserve">Marca: IF INDUSTRIAS FITNESS. 71 cm X 16 cm X 4,5 cm. </t>
  </si>
  <si>
    <t>Marca: IF INDUSTRIAS FITNESS.</t>
  </si>
  <si>
    <t xml:space="preserve">Flete </t>
  </si>
  <si>
    <t>IF INDUSTRIAS FITNESS y SPORT FITNESS.</t>
  </si>
  <si>
    <t xml:space="preserve"> EQUIPO DE OFICINA - MUEBLES Y ENSERES 1524</t>
  </si>
  <si>
    <t>Silla</t>
  </si>
  <si>
    <t xml:space="preserve">Plástica en juego para escritorio de computador. Alto:109 cm. Ancho: 60 cm  </t>
  </si>
  <si>
    <t>Escritorio</t>
  </si>
  <si>
    <t xml:space="preserve">De madera para computador. 75 X 120 X 45 cm </t>
  </si>
  <si>
    <t>EQUIPO DE COMPUTACIÓN Y COMUNICACIÓN 1528</t>
  </si>
  <si>
    <t xml:space="preserve">Computador </t>
  </si>
  <si>
    <t>Marca: Dell. 8 RAM. 256 GB. 10,2 X 15 X 0,9 in</t>
  </si>
  <si>
    <t xml:space="preserve">Impresora térmica </t>
  </si>
  <si>
    <t xml:space="preserve">Impresora térmica para facturas. Marca: Epson. 5,8 cm X 5 cm  </t>
  </si>
  <si>
    <t>Software de entrenamiento</t>
  </si>
  <si>
    <t>FitCo</t>
  </si>
  <si>
    <t>Total Presupuesto Maquinaria</t>
  </si>
  <si>
    <t xml:space="preserve">Gastos </t>
  </si>
  <si>
    <t>GASTOS ADMINISTRATIVOS</t>
  </si>
  <si>
    <t>Costo (Mes)</t>
  </si>
  <si>
    <t>Año 0</t>
  </si>
  <si>
    <t xml:space="preserve">Años </t>
  </si>
  <si>
    <t>Gastos de mantenimiento y reparaciones</t>
  </si>
  <si>
    <t>Pólizas de seguros</t>
  </si>
  <si>
    <t>GASTOS DE VENTAS</t>
  </si>
  <si>
    <t xml:space="preserve">Publicidad y propaganda </t>
  </si>
  <si>
    <t>GASTOS OPERATIVOS</t>
  </si>
  <si>
    <t>Arrendamiento local y casa</t>
  </si>
  <si>
    <t>Datos móviles</t>
  </si>
  <si>
    <t>Internet</t>
  </si>
  <si>
    <t>Servicio de energía</t>
  </si>
  <si>
    <t>Servicio de agua</t>
  </si>
  <si>
    <t>Combustible de Auxiliar logístico</t>
  </si>
  <si>
    <t>Total Gastos</t>
  </si>
  <si>
    <t>Total Trimestral</t>
  </si>
  <si>
    <t>Plan de Compras y Servicios</t>
  </si>
  <si>
    <t>INSUMOS PAPELERÍA</t>
  </si>
  <si>
    <t>Tiempo</t>
  </si>
  <si>
    <t>Unidad de
medida</t>
  </si>
  <si>
    <t xml:space="preserve">Valor mensual </t>
  </si>
  <si>
    <t xml:space="preserve">Valor anual </t>
  </si>
  <si>
    <t xml:space="preserve">Papel de facturación </t>
  </si>
  <si>
    <t xml:space="preserve">Semestral </t>
  </si>
  <si>
    <t xml:space="preserve">Unidad </t>
  </si>
  <si>
    <t xml:space="preserve">Resma </t>
  </si>
  <si>
    <t xml:space="preserve">Lapiceros </t>
  </si>
  <si>
    <t xml:space="preserve">Trimestral </t>
  </si>
  <si>
    <t>Total mensual</t>
  </si>
  <si>
    <t>INSUMOS DE ASEO</t>
  </si>
  <si>
    <t xml:space="preserve">Recogedor </t>
  </si>
  <si>
    <t xml:space="preserve">Jabón Líquido </t>
  </si>
  <si>
    <t xml:space="preserve">Mensual </t>
  </si>
  <si>
    <t xml:space="preserve">Mililitros </t>
  </si>
  <si>
    <t xml:space="preserve">Escoba </t>
  </si>
  <si>
    <t xml:space="preserve">Trapero </t>
  </si>
  <si>
    <t xml:space="preserve">Canecas de Basura </t>
  </si>
  <si>
    <t xml:space="preserve">Anual </t>
  </si>
  <si>
    <t>Bolsas de Basura</t>
  </si>
  <si>
    <t xml:space="preserve">Bimestral </t>
  </si>
  <si>
    <t xml:space="preserve">Vaselina </t>
  </si>
  <si>
    <t xml:space="preserve">Gramos </t>
  </si>
  <si>
    <t xml:space="preserve">Alcohol con aromatizante </t>
  </si>
  <si>
    <t xml:space="preserve">Grasa </t>
  </si>
  <si>
    <t>OTROS INSUMOS Y SERVICIOS</t>
  </si>
  <si>
    <t xml:space="preserve">Botiquín </t>
  </si>
  <si>
    <t xml:space="preserve">Extintor </t>
  </si>
  <si>
    <t xml:space="preserve">Libras </t>
  </si>
  <si>
    <t xml:space="preserve">Señalización </t>
  </si>
  <si>
    <t>Total Anual</t>
  </si>
  <si>
    <t xml:space="preserve">Total  Anual </t>
  </si>
  <si>
    <t xml:space="preserve">Depreciación acumulada </t>
  </si>
  <si>
    <t>Concepto</t>
  </si>
  <si>
    <t>Monto</t>
  </si>
  <si>
    <t>Vida útil
(Años)</t>
  </si>
  <si>
    <t>Depreciación
(%)</t>
  </si>
  <si>
    <t>Depreciación
(Anual)</t>
  </si>
  <si>
    <t>Maquinaria y Equipo 1520</t>
  </si>
  <si>
    <t>Muebles y enseres 1524</t>
  </si>
  <si>
    <t>Equipo de Computación y Comunicación 1528</t>
  </si>
  <si>
    <t xml:space="preserve">Depreciación lineal </t>
  </si>
  <si>
    <t xml:space="preserve">Valor en libros </t>
  </si>
  <si>
    <t xml:space="preserve">Depreciación </t>
  </si>
  <si>
    <t xml:space="preserve">Características Prensa  </t>
  </si>
  <si>
    <t xml:space="preserve">Características Hack squat </t>
  </si>
  <si>
    <t xml:space="preserve">Características Extensor de cuádriceps </t>
  </si>
  <si>
    <t>Características Máquina femoral acostado</t>
  </si>
  <si>
    <t>Características Rack sentadilla</t>
  </si>
  <si>
    <t xml:space="preserve">Características Máquina Smith </t>
  </si>
  <si>
    <t xml:space="preserve">Características Máquina Abductor </t>
  </si>
  <si>
    <t>Características Hip Thrust</t>
  </si>
  <si>
    <t xml:space="preserve">Características Polea Dorsal </t>
  </si>
  <si>
    <t xml:space="preserve">Características Máquina Pantorrilla </t>
  </si>
  <si>
    <t xml:space="preserve">Características Barra Olímpica </t>
  </si>
  <si>
    <t>Características Disco 2,5 Kg</t>
  </si>
  <si>
    <t>Características Disco 5 Kg</t>
  </si>
  <si>
    <t>Características Disco 10 Kg</t>
  </si>
  <si>
    <t>Características Disco 15 Kg</t>
  </si>
  <si>
    <t>Características Disco 20 Kg</t>
  </si>
  <si>
    <t xml:space="preserve">Características Mancuerna </t>
  </si>
  <si>
    <t xml:space="preserve">Características Colchonetas </t>
  </si>
  <si>
    <t xml:space="preserve">Características Sogas cardio </t>
  </si>
  <si>
    <t xml:space="preserve">Características Pelotas </t>
  </si>
  <si>
    <t>Características Spinning</t>
  </si>
  <si>
    <t>Características TRX</t>
  </si>
  <si>
    <t xml:space="preserve">Características Estante Mancuernas </t>
  </si>
  <si>
    <t xml:space="preserve">Características Elípticas </t>
  </si>
  <si>
    <t xml:space="preserve">Características Sacos de Box </t>
  </si>
  <si>
    <t xml:space="preserve">Características Banco plano </t>
  </si>
  <si>
    <t xml:space="preserve">Características Banco inclinado </t>
  </si>
  <si>
    <t xml:space="preserve">Características Banco declinado </t>
  </si>
  <si>
    <t xml:space="preserve">Características Báscula </t>
  </si>
  <si>
    <t xml:space="preserve">Características Medidor de grasa </t>
  </si>
  <si>
    <t xml:space="preserve">Características Tapizado </t>
  </si>
  <si>
    <t xml:space="preserve">Características Cronómetro </t>
  </si>
  <si>
    <t xml:space="preserve">Características Accesorios </t>
  </si>
  <si>
    <t xml:space="preserve">Características Silla  </t>
  </si>
  <si>
    <t xml:space="preserve">Características Escritorio </t>
  </si>
  <si>
    <t xml:space="preserve">Características Computador </t>
  </si>
  <si>
    <t xml:space="preserve">Características Impresora térmica </t>
  </si>
  <si>
    <t xml:space="preserve">Características Polea doble </t>
  </si>
  <si>
    <t xml:space="preserve">Costo </t>
  </si>
  <si>
    <t xml:space="preserve">Valor residual </t>
  </si>
  <si>
    <t xml:space="preserve">Año 2 </t>
  </si>
  <si>
    <t xml:space="preserve">Vida útil </t>
  </si>
  <si>
    <t>Año 6</t>
  </si>
  <si>
    <t xml:space="preserve">Año 7 </t>
  </si>
  <si>
    <t xml:space="preserve">Año 8 </t>
  </si>
  <si>
    <t xml:space="preserve">Año 9 </t>
  </si>
  <si>
    <t>Año 10</t>
  </si>
  <si>
    <t xml:space="preserve">Tipo de cuenta </t>
  </si>
  <si>
    <t xml:space="preserve">Item </t>
  </si>
  <si>
    <t>Polea doble Marca: IF INDUSTRIAS FITNESS</t>
  </si>
  <si>
    <t>Prensa Marca: IF INDUSTRIAS FITNESS</t>
  </si>
  <si>
    <t>Hack squat Marca: IF INDUSTRIAS FITNESS</t>
  </si>
  <si>
    <t>Extensor de cuádriceps Marca: IF INDUSTRIAS FITNESS</t>
  </si>
  <si>
    <t>Máquina femoral acostada Marca: IF INDUSTRIAS FITNESS</t>
  </si>
  <si>
    <t>Rack de sentadilla Marca: IF INDUSTRIAS FITNESS</t>
  </si>
  <si>
    <t>Máquina Smith Marca: IF INDUSTRIAS FITNESS</t>
  </si>
  <si>
    <t>Máquina Abductor Marca: IF INDUSTRIAS FITNESS</t>
  </si>
  <si>
    <t>Hip Thrust Marca: IF INDUSTRIAS FITNESS</t>
  </si>
  <si>
    <t>Polea dorsal Marca: IF INDUSTRIAS FITNESS</t>
  </si>
  <si>
    <t>Máquina Pantorrilla Marca: IF INDUSTRIAS FITNESS</t>
  </si>
  <si>
    <t>Barras olímpicas Marca: IF INDUSTRIAS FITNESS</t>
  </si>
  <si>
    <t>Discos 2,5 Kg Marca: IF INDUSTRIAS FITNESS</t>
  </si>
  <si>
    <t>Discos 5 Kg Marca: IF INDUSTRIAS FITNESS</t>
  </si>
  <si>
    <t>Discos 10 Kg Marca: IF INDUSTRIAS FITNESS</t>
  </si>
  <si>
    <t>Discos 15 Kg Marca: IF INDUSTRIAS FITNESS</t>
  </si>
  <si>
    <t>Discos 20 Kg Marca: IF INDUSTRIAS FITNESS</t>
  </si>
  <si>
    <t>Mancuernas Marca: IF INDUSTRIAS FITNESS</t>
  </si>
  <si>
    <t>Colchonetas Marca: IF INDUSTRIAS FITNESS</t>
  </si>
  <si>
    <t>Sogas de Cardio Marca: IF INDUSTRIAS FITNESS</t>
  </si>
  <si>
    <t>Pelotas Marca: IF INDUSTRIAS FITNESS</t>
  </si>
  <si>
    <t>Spinning Marca: SPORT FITNESS</t>
  </si>
  <si>
    <t>TRX Marca: IF INDUSTRIAS FITNESS</t>
  </si>
  <si>
    <t>Estante de mancuernas Marca: IF INDUSTRIAS FITNESS</t>
  </si>
  <si>
    <t>Elíptica Marca: SPORT FITNESS</t>
  </si>
  <si>
    <t>Sacos de Box Marca: IF INDUSTRIAS FITNESS</t>
  </si>
  <si>
    <t>Banco plano Marca: IF INDUSTRIAS FITNESS</t>
  </si>
  <si>
    <t>Banco inclinano Marca: IF INDUSTRIAS FITNESS</t>
  </si>
  <si>
    <t>Banco declinado Marca: IF INDUSTRIAS FITNESS</t>
  </si>
  <si>
    <t>Báscula Marca: IF INDUSTRIAS FITNESS</t>
  </si>
  <si>
    <t>Medidor de grasa Marca: IF INDUSTRIAS FITNESS</t>
  </si>
  <si>
    <t>Tapizado Marca: IF INDUSTRIAS FITNESS</t>
  </si>
  <si>
    <t>Cronómetro Marca: IF INDUSTRIAS FITNESS</t>
  </si>
  <si>
    <t>Maquinaria y Equipo 1527</t>
  </si>
  <si>
    <t>Accesorios Marca: IF INDUSTRIAS FITNESS</t>
  </si>
  <si>
    <t xml:space="preserve">Silla Marca: HOME CENTER </t>
  </si>
  <si>
    <t xml:space="preserve">Escritorio Marca: HOME CENTER </t>
  </si>
  <si>
    <t xml:space="preserve">Computador Marca: DELL </t>
  </si>
  <si>
    <t xml:space="preserve">Impresora Térmica Marca: EPSON </t>
  </si>
  <si>
    <t xml:space="preserve">Total </t>
  </si>
  <si>
    <t>Fuentes de Financiación</t>
  </si>
  <si>
    <t>Política de crédito</t>
  </si>
  <si>
    <t>Maquinaria</t>
  </si>
  <si>
    <t>Gastos</t>
  </si>
  <si>
    <t>Aporte del emprendedor</t>
  </si>
  <si>
    <t>Otras fuentes</t>
  </si>
  <si>
    <t>Nómina trimestral</t>
  </si>
  <si>
    <t>Capital Semilla</t>
  </si>
  <si>
    <t xml:space="preserve">Compras </t>
  </si>
  <si>
    <t>Recursos Propios</t>
  </si>
  <si>
    <t>Total IO</t>
  </si>
  <si>
    <t>Crédito Bancario</t>
  </si>
  <si>
    <t>Recursos de fondo institucional</t>
  </si>
  <si>
    <t>Crédito Extrabancario</t>
  </si>
  <si>
    <t>Socios</t>
  </si>
  <si>
    <t>Crowfounding</t>
  </si>
  <si>
    <t>Crédito</t>
  </si>
  <si>
    <t>Cooperación Internacional</t>
  </si>
  <si>
    <t>Ángeles inversionistas</t>
  </si>
  <si>
    <t>Tabla de Amortización</t>
  </si>
  <si>
    <t>Mensual</t>
  </si>
  <si>
    <t>Monto crédito</t>
  </si>
  <si>
    <t>Avvillas</t>
  </si>
  <si>
    <t>Intereses</t>
  </si>
  <si>
    <t>BBVA</t>
  </si>
  <si>
    <t>Plazo (Mes)</t>
  </si>
  <si>
    <t>Seguro (Mes)</t>
  </si>
  <si>
    <t>Meses</t>
  </si>
  <si>
    <t>Saldo</t>
  </si>
  <si>
    <t>Abono a capital</t>
  </si>
  <si>
    <t>Interés</t>
  </si>
  <si>
    <t>Seguro</t>
  </si>
  <si>
    <t>Valor de cuota</t>
  </si>
  <si>
    <t>Mes 1</t>
  </si>
  <si>
    <t>Mes 2</t>
  </si>
  <si>
    <t>Mes 3</t>
  </si>
  <si>
    <t>Mes 4</t>
  </si>
  <si>
    <t>Mes 5</t>
  </si>
  <si>
    <t>Mes 6</t>
  </si>
  <si>
    <t>Mes 7</t>
  </si>
  <si>
    <t>Mes 8</t>
  </si>
  <si>
    <t>Mes 9</t>
  </si>
  <si>
    <t>Mes 10</t>
  </si>
  <si>
    <t>Mes 11</t>
  </si>
  <si>
    <t>Suma K</t>
  </si>
  <si>
    <t>Gastos financieros</t>
  </si>
  <si>
    <t>Mes 12</t>
  </si>
  <si>
    <t>Mes 13</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</si>
  <si>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</si>
  <si>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</si>
  <si>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</si>
  <si>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</si>
  <si>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</si>
  <si>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</si>
  <si>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</si>
  <si>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</si>
  <si>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</si>
  <si>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</si>
  <si>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</si>
  <si>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</si>
  <si>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</si>
  <si>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</si>
  <si>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</si>
  <si>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</si>
  <si>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</si>
  <si>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</si>
  <si>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</si>
  <si>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</si>
  <si>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</si>
  <si>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</si>
  <si>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</si>
  <si>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</si>
  <si>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</si>
  <si>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</si>
  <si>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</si>
  <si>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</si>
  <si>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</si>
  <si>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</si>
  <si>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</si>
  <si>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</si>
  <si>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</si>
  <si>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</si>
  <si>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</si>
  <si>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</si>
  <si>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ESTADO DE SITUACIÓN FINANCIERA INICIAL</t>
  </si>
  <si>
    <t>ACTIVOS</t>
  </si>
  <si>
    <t>EFECTIVO Y EQUIVALENTE DE EFECTIVO</t>
  </si>
  <si>
    <t>EFECTIVO/CAJA</t>
  </si>
  <si>
    <t>CUENTAS POR COBRAR</t>
  </si>
  <si>
    <t>INVENTARIOS</t>
  </si>
  <si>
    <t>PROPIEDAD PLANTA Y EQUIPO</t>
  </si>
  <si>
    <t>MUEBLES Y ENSERES</t>
  </si>
  <si>
    <t>MAQUINARIA, EQUIPO Y ADECUACIONES</t>
  </si>
  <si>
    <t xml:space="preserve">EQUIPO DE COMPUTACIÓN Y COMUNICACIÓN </t>
  </si>
  <si>
    <t>TOTAL ACTIVO</t>
  </si>
  <si>
    <t>PASIVO</t>
  </si>
  <si>
    <t>OBLIGACIONES FINANCIERAS</t>
  </si>
  <si>
    <t>OTROS PASIVOS</t>
  </si>
  <si>
    <t>TOTAL PASIVO</t>
  </si>
  <si>
    <t>PATRIMONIO</t>
  </si>
  <si>
    <t>CAPITAL SOCIAL</t>
  </si>
  <si>
    <t>TOTAL PATRIMONIO</t>
  </si>
  <si>
    <t>TOTAL PASIVO MAS PATRIMONIO</t>
  </si>
  <si>
    <t>Representante Legal</t>
  </si>
  <si>
    <t>Contador</t>
  </si>
  <si>
    <t xml:space="preserve">ESTADO RESULTADO </t>
  </si>
  <si>
    <t xml:space="preserve">Año 0 </t>
  </si>
  <si>
    <t>INGRESOS OPERACIONALES</t>
  </si>
  <si>
    <t>Ventas Brutas</t>
  </si>
  <si>
    <t>TOTAL INGRESOS BRUTOS</t>
  </si>
  <si>
    <t>COSTO VENTA</t>
  </si>
  <si>
    <t>Costo de venta</t>
  </si>
  <si>
    <t>TOTAL COSTO DE VENTA</t>
  </si>
  <si>
    <t>UTILIDAD BRUTA</t>
  </si>
  <si>
    <t>RENTABILIDAD BRUTA</t>
  </si>
  <si>
    <t>GASTOS OPERACIONALES</t>
  </si>
  <si>
    <t xml:space="preserve">Gastos de personal </t>
  </si>
  <si>
    <t xml:space="preserve">Gastos administrativos </t>
  </si>
  <si>
    <t xml:space="preserve">Gastos Operativos </t>
  </si>
  <si>
    <t>Gastos de venta</t>
  </si>
  <si>
    <t>UTILIDAD OPERACIONAL</t>
  </si>
  <si>
    <t>Otros Gastos/Gastos financieros</t>
  </si>
  <si>
    <t xml:space="preserve">Tarifa ICA </t>
  </si>
  <si>
    <t>P.9</t>
  </si>
  <si>
    <t xml:space="preserve">Impuesto de industria y comercio </t>
  </si>
  <si>
    <t>Impuesto de renta y complementarios</t>
  </si>
  <si>
    <t>Renovación cámara de comercio</t>
  </si>
  <si>
    <t>UTILIDAD NETA</t>
  </si>
  <si>
    <t>FLUJO DE CAJA</t>
  </si>
  <si>
    <t>WELL-LIFE GYM</t>
  </si>
  <si>
    <t>INGRESOS</t>
  </si>
  <si>
    <t>INGRESOS POR VENTAS DE CONTADO</t>
  </si>
  <si>
    <t>INGRESOS POR VENTAS A CRÉDITO</t>
  </si>
  <si>
    <t>CAJA INICIAL</t>
  </si>
  <si>
    <t>INGRESOS POR CRÉDITOS</t>
  </si>
  <si>
    <t>APORTES DE CAPITAL</t>
  </si>
  <si>
    <t>TOTAL INGRESOS</t>
  </si>
  <si>
    <t>EGRESOS</t>
  </si>
  <si>
    <t>PAGO MERCANCÍAS DE CONTADO</t>
  </si>
  <si>
    <t>PAGO MERCANCÍAS A CRÉDITO</t>
  </si>
  <si>
    <t xml:space="preserve">GASTOS ADMINISTRATIVOS </t>
  </si>
  <si>
    <t>GASTOS  VENTAS</t>
  </si>
  <si>
    <t>GASTOS DE PERSONAL</t>
  </si>
  <si>
    <t>COMPRA ACTIVOS FIJOS</t>
  </si>
  <si>
    <t>PAGO DE INTERESES</t>
  </si>
  <si>
    <t>PAGO CAPITAL CRÉDITO</t>
  </si>
  <si>
    <t>PAGO DE IMPUESTOS</t>
  </si>
  <si>
    <t>DEPRECIACIÓN</t>
  </si>
  <si>
    <t>TOTAL EGRESOS</t>
  </si>
  <si>
    <t>SALDO DE CAJA</t>
  </si>
  <si>
    <t>Inversión</t>
  </si>
  <si>
    <t>Tasa de interés de oportunidad</t>
  </si>
  <si>
    <t>Flujo de ingresos</t>
  </si>
  <si>
    <t>Flujo de egresos</t>
  </si>
  <si>
    <t>Flujo de caja</t>
  </si>
  <si>
    <t>Flujo de caja acumulado</t>
  </si>
  <si>
    <t>VAN de flujo de ingresos</t>
  </si>
  <si>
    <t>VAN de flujo de egresos</t>
  </si>
  <si>
    <t>Costo + inversión</t>
  </si>
  <si>
    <t>VAN</t>
  </si>
  <si>
    <t>TIR</t>
  </si>
  <si>
    <t>Relación beneficio/costo</t>
  </si>
  <si>
    <t>PRI</t>
  </si>
  <si>
    <t xml:space="preserve">Punto de Equilibrio del servicio normal </t>
  </si>
  <si>
    <t>QE=</t>
  </si>
  <si>
    <t xml:space="preserve">Costo fijo </t>
  </si>
  <si>
    <t>/</t>
  </si>
  <si>
    <t>(Precio Unitario - Cv unitario)</t>
  </si>
  <si>
    <t xml:space="preserve">Servicio general o normal </t>
  </si>
  <si>
    <t xml:space="preserve">Costos fijos </t>
  </si>
  <si>
    <t xml:space="preserve">Costos variables </t>
  </si>
  <si>
    <t xml:space="preserve">Salarios </t>
  </si>
  <si>
    <t xml:space="preserve">Materias Primas </t>
  </si>
  <si>
    <t xml:space="preserve">Mano de obra </t>
  </si>
  <si>
    <t xml:space="preserve">Precio de venta </t>
  </si>
  <si>
    <t>Cantidad de Equilibrio</t>
  </si>
  <si>
    <t>Cantidad producida</t>
  </si>
  <si>
    <t>Impuestos</t>
  </si>
  <si>
    <t>Papelería y aseo</t>
  </si>
  <si>
    <t xml:space="preserve"> </t>
  </si>
  <si>
    <t>Propuesta</t>
  </si>
  <si>
    <t>Capital</t>
  </si>
  <si>
    <t xml:space="preserve">Paola Quintero </t>
  </si>
  <si>
    <t xml:space="preserve">Estiven Vargas </t>
  </si>
  <si>
    <t>Inversores</t>
  </si>
  <si>
    <t>Total capital</t>
  </si>
  <si>
    <t>Presupuesto</t>
  </si>
  <si>
    <t>UNIDADES</t>
  </si>
  <si>
    <t>VALOR UNITARO</t>
  </si>
  <si>
    <t>VALOR TOTAL</t>
  </si>
  <si>
    <t>spinning eco-powr G574</t>
  </si>
  <si>
    <t>Eliptica eco-powr G866</t>
  </si>
  <si>
    <t xml:space="preserve">Canon </t>
  </si>
  <si>
    <t>costo m2</t>
  </si>
  <si>
    <t>Calculo arrendamiento mes (finca raiz)</t>
  </si>
  <si>
    <t xml:space="preserve">Objeto </t>
  </si>
  <si>
    <t xml:space="preserve">Casa </t>
  </si>
  <si>
    <t>Área m2</t>
  </si>
  <si>
    <t xml:space="preserve">Apartamento </t>
  </si>
  <si>
    <t xml:space="preserve">Bodega </t>
  </si>
  <si>
    <t xml:space="preserve">Local </t>
  </si>
  <si>
    <t>Promedio (canon para WELL-LIFE GYM)</t>
  </si>
  <si>
    <t xml:space="preserve">Bancos graduables </t>
  </si>
  <si>
    <t xml:space="preserve">Maquinarias más compras </t>
  </si>
  <si>
    <t xml:space="preserve">INTANGIBLES </t>
  </si>
  <si>
    <t>tasa de captacion actual</t>
  </si>
  <si>
    <t>tasa de colocacion</t>
  </si>
  <si>
    <t>banco de la republica semana 42</t>
  </si>
  <si>
    <t>licencia de funcionamiento</t>
  </si>
  <si>
    <t>licencia sanitaria</t>
  </si>
  <si>
    <t>renovacion camara de comercio 2023</t>
  </si>
  <si>
    <t>registro mercantil</t>
  </si>
  <si>
    <t>sesoria de expertos</t>
  </si>
  <si>
    <t>total intangibles</t>
  </si>
  <si>
    <t xml:space="preserve">Valor de despacho </t>
  </si>
  <si>
    <t xml:space="preserve">Aumento del valor de despacho </t>
  </si>
  <si>
    <t>Banco santander</t>
  </si>
  <si>
    <t>BODYRECH</t>
  </si>
  <si>
    <t xml:space="preserve">SPINNING CENTER </t>
  </si>
  <si>
    <t xml:space="preserve">SMART FIT </t>
  </si>
  <si>
    <t xml:space="preserve">COSTO </t>
  </si>
  <si>
    <t>HEALTHY AND LIFE</t>
  </si>
  <si>
    <t xml:space="preserve">ITEM </t>
  </si>
  <si>
    <t xml:space="preserve">PRECIO VENTA </t>
  </si>
  <si>
    <t>POBLACION COMUNA 4</t>
  </si>
  <si>
    <t xml:space="preserve">AÑO </t>
  </si>
  <si>
    <t xml:space="preserve">% APLICADO </t>
  </si>
  <si>
    <t xml:space="preserve">Ibagué al Tolima (obesidad) </t>
  </si>
  <si>
    <t xml:space="preserve">No utilizado </t>
  </si>
  <si>
    <t>EVALUACIÓN DE ITEM</t>
  </si>
  <si>
    <t xml:space="preserve">Estratos dos en adelante </t>
  </si>
  <si>
    <t xml:space="preserve">DENOMINACIÓN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</si>
</sst>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Red]\-&quot;$&quot;\ #,##0"/>
    <numFmt numFmtId="165" formatCode="&quot;$&quot;\ #,##0.00;[Red]\-&quot;$&quot;\ #,##0.00"/>
    <numFmt numFmtId="166" formatCode="_-&quot;$&quot;\ * #,##0_-;\-&quot;$&quot;\ * #,##0_-;_-&quot;$&quot;\ * &quot;-&quot;_-;_-@_-"/>
    <numFmt numFmtId="167" formatCode="_-* #,##0_-;\-* #,##0_-;_-* &quot;-&quot;_-;_-@_-"/>
    <numFmt numFmtId="168" formatCode="_-&quot;$&quot;\ * #,##0.00_-;\-&quot;$&quot;\ * #,##0.00_-;_-&quot;$&quot;\ * &quot;-&quot;??_-;_-@_-"/>
    <numFmt numFmtId="169" formatCode="_-* #,##0.00_-;\-* #,##0.00_-;_-* &quot;-&quot;_-;_-@_-"/>
    <numFmt numFmtId="170" formatCode="_-&quot;$&quot;\ * #,##0_-;\-&quot;$&quot;\ * #,##0_-;_-&quot;$&quot;\ * &quot;-&quot;??_-;_-@_-"/>
    <numFmt numFmtId="171" formatCode="0.0%"/>
    <numFmt numFmtId="172"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i/>
      <sz val="11"/>
      <color theme="1"/>
      <name val="Calibri"/>
      <family val="2"/>
      <scheme val="minor"/>
    </font>
    <font>
      <sz val="12"/>
      <color rgb="FF000000"/>
      <name val="Times New Roman"/>
      <family val="1"/>
    </font>
    <font>
      <sz val="12"/>
      <color theme="1"/>
      <name val="Times New Roman"/>
      <family val="1"/>
    </font>
    <font>
      <b/>
      <sz val="12"/>
      <color theme="1"/>
      <name val="Times New Roman"/>
      <family val="1"/>
    </font>
    <font>
      <b/>
      <sz val="12"/>
      <color rgb="FF000000"/>
      <name val="Times New Roman"/>
      <family val="1"/>
    </font>
    <font>
      <i/>
      <sz val="12"/>
      <color theme="1"/>
      <name val="Times New Roman"/>
      <family val="1"/>
    </font>
    <font>
      <sz val="12"/>
      <color rgb="FFC00000"/>
      <name val="Times New Roman"/>
      <family val="1"/>
    </font>
    <font>
      <sz val="12"/>
      <name val="Times New Roman"/>
      <family val="1"/>
    </font>
    <font>
      <b/>
      <i/>
      <sz val="12"/>
      <color theme="1"/>
      <name val="Times New Roman"/>
      <family val="1"/>
    </font>
    <font>
      <b/>
      <sz val="12"/>
      <name val="Times New Roman"/>
      <family val="1"/>
    </font>
    <font>
      <sz val="12"/>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4"/>
      </patternFill>
    </fill>
    <fill>
      <patternFill patternType="solid">
        <fgColor theme="0"/>
        <bgColor theme="4" tint="0.59999389629810485"/>
      </patternFill>
    </fill>
  </fills>
  <borders count="30">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right/>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bottom style="thin">
        <color theme="9" tint="-0.249977111117893"/>
      </bottom>
      <diagonal/>
    </border>
    <border>
      <left/>
      <right style="thin">
        <color theme="9" tint="-0.249977111117893"/>
      </right>
      <top style="thin">
        <color theme="9" tint="-0.249977111117893"/>
      </top>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bottom/>
      <diagonal/>
    </border>
    <border>
      <left/>
      <right style="thin">
        <color theme="9" tint="-0.249977111117893"/>
      </right>
      <top/>
      <bottom/>
      <diagonal/>
    </border>
    <border>
      <left/>
      <right style="thin">
        <color theme="9"/>
      </right>
      <top/>
      <bottom/>
      <diagonal/>
    </border>
    <border>
      <left/>
      <right style="thin">
        <color theme="9"/>
      </right>
      <top style="thin">
        <color theme="9"/>
      </top>
      <bottom style="thin">
        <color theme="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DB5451"/>
      </left>
      <right/>
      <top/>
      <bottom/>
      <diagonal/>
    </border>
    <border>
      <left/>
      <right/>
      <top style="thin">
        <color rgb="FFDB5451"/>
      </top>
      <bottom/>
      <diagonal/>
    </border>
    <border>
      <left/>
      <right style="thin">
        <color rgb="FFDB5451"/>
      </right>
      <top/>
      <bottom/>
      <diagonal/>
    </border>
    <border>
      <left style="thin">
        <color rgb="FFDB5451"/>
      </left>
      <right style="thin">
        <color rgb="FFDB5451"/>
      </right>
      <top style="thin">
        <color rgb="FFDB5451"/>
      </top>
      <bottom style="thin">
        <color rgb="FFDB5451"/>
      </bottom>
      <diagonal/>
    </border>
  </borders>
  <cellStyleXfs count="5">
    <xf numFmtId="0" fontId="0" fillId="0" borderId="0"/>
    <xf numFmtId="167"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cellStyleXfs>
  <cellXfs count="313">
    <xf numFmtId="0" fontId="0" fillId="0" borderId="0" xfId="0"/>
    <xf numFmtId="0" fontId="0" fillId="0" borderId="0" xfId="0" applyAlignment="1">
      <alignment horizontal="left" vertical="top"/>
    </xf>
    <xf numFmtId="167" fontId="0" fillId="0" borderId="0" xfId="1" applyFont="1" applyAlignment="1">
      <alignment horizontal="left" vertical="top"/>
    </xf>
    <xf numFmtId="9" fontId="0" fillId="0" borderId="0" xfId="2" applyFont="1" applyAlignment="1">
      <alignment horizontal="left" vertical="top"/>
    </xf>
    <xf numFmtId="0" fontId="2" fillId="0" borderId="0" xfId="0" applyFont="1" applyAlignment="1">
      <alignment horizontal="left" vertical="top"/>
    </xf>
    <xf numFmtId="0" fontId="0" fillId="0" borderId="0" xfId="0" applyAlignment="1">
      <alignment horizontal="left" vertical="top" wrapText="1"/>
    </xf>
    <xf numFmtId="167" fontId="0" fillId="0" borderId="1" xfId="1" applyFont="1" applyBorder="1" applyAlignment="1">
      <alignment horizontal="left" vertical="top"/>
    </xf>
    <xf numFmtId="167" fontId="4" fillId="0" borderId="0" xfId="1" applyFont="1" applyBorder="1" applyAlignment="1">
      <alignment horizontal="left" vertical="top"/>
    </xf>
    <xf numFmtId="0" fontId="0" fillId="0" borderId="1" xfId="0" applyBorder="1" applyAlignment="1">
      <alignment horizontal="left" vertical="top"/>
    </xf>
    <xf numFmtId="167" fontId="0" fillId="0" borderId="0" xfId="1" applyFont="1" applyAlignment="1">
      <alignment horizontal="right" vertical="top"/>
    </xf>
    <xf numFmtId="167" fontId="4" fillId="0" borderId="0" xfId="1" applyFont="1" applyAlignment="1">
      <alignment horizontal="left" vertical="top"/>
    </xf>
    <xf numFmtId="167" fontId="0" fillId="0" borderId="0" xfId="1" applyFont="1" applyBorder="1" applyAlignment="1">
      <alignment horizontal="left" vertical="top"/>
    </xf>
    <xf numFmtId="0" fontId="6" fillId="0" borderId="0" xfId="0" applyFont="1" applyAlignment="1">
      <alignment horizontal="left" vertical="top" wrapText="1"/>
    </xf>
    <xf numFmtId="0" fontId="6" fillId="0" borderId="0" xfId="0" applyFont="1"/>
    <xf numFmtId="0" fontId="7" fillId="0" borderId="0" xfId="0" applyFont="1" applyAlignment="1">
      <alignment horizontal="left" vertical="top" wrapText="1"/>
    </xf>
    <xf numFmtId="0" fontId="6" fillId="0" borderId="0" xfId="0" applyFont="1" applyAlignment="1">
      <alignment horizontal="left" vertical="top"/>
    </xf>
    <xf numFmtId="0" fontId="6" fillId="0" borderId="2" xfId="0" applyFont="1" applyBorder="1" applyAlignment="1">
      <alignment horizontal="left" vertical="top"/>
    </xf>
    <xf numFmtId="0" fontId="7" fillId="0" borderId="2" xfId="0" applyFont="1" applyBorder="1" applyAlignment="1">
      <alignment horizontal="center" vertical="top"/>
    </xf>
    <xf numFmtId="0" fontId="7" fillId="0" borderId="0" xfId="0" applyFont="1" applyAlignment="1">
      <alignment horizontal="center" vertical="top"/>
    </xf>
    <xf numFmtId="0" fontId="7" fillId="0" borderId="0" xfId="0" applyFont="1" applyAlignment="1">
      <alignment horizontal="left" vertical="top"/>
    </xf>
    <xf numFmtId="167" fontId="6" fillId="0" borderId="0" xfId="1" applyFont="1" applyAlignment="1">
      <alignment horizontal="left" vertical="top"/>
    </xf>
    <xf numFmtId="170" fontId="6" fillId="0" borderId="2" xfId="3" applyNumberFormat="1" applyFont="1" applyBorder="1" applyAlignment="1">
      <alignment horizontal="left" vertical="top"/>
    </xf>
    <xf numFmtId="9" fontId="6" fillId="0" borderId="2" xfId="2" applyFont="1" applyBorder="1" applyAlignment="1">
      <alignment horizontal="left" vertical="top"/>
    </xf>
    <xf numFmtId="170" fontId="6" fillId="0" borderId="0" xfId="3" applyNumberFormat="1" applyFont="1" applyAlignment="1">
      <alignment horizontal="left" vertical="top"/>
    </xf>
    <xf numFmtId="0" fontId="7" fillId="0" borderId="0" xfId="0" applyFont="1"/>
    <xf numFmtId="9" fontId="6" fillId="0" borderId="0" xfId="2" applyFont="1" applyAlignment="1">
      <alignment horizontal="left" vertical="top"/>
    </xf>
    <xf numFmtId="9" fontId="6" fillId="0" borderId="0" xfId="0" applyNumberFormat="1" applyFont="1" applyAlignment="1">
      <alignment horizontal="left" vertical="top"/>
    </xf>
    <xf numFmtId="9" fontId="7" fillId="0" borderId="2" xfId="2" applyFont="1" applyBorder="1" applyAlignment="1">
      <alignment horizontal="center" vertical="top"/>
    </xf>
    <xf numFmtId="167" fontId="7" fillId="0" borderId="2" xfId="1" applyFont="1" applyBorder="1" applyAlignment="1">
      <alignment horizontal="center" vertical="top"/>
    </xf>
    <xf numFmtId="0" fontId="6" fillId="0" borderId="2" xfId="3" applyNumberFormat="1" applyFont="1" applyBorder="1" applyAlignment="1">
      <alignment horizontal="right" vertical="top"/>
    </xf>
    <xf numFmtId="9" fontId="6" fillId="0" borderId="0" xfId="2" applyFont="1" applyBorder="1" applyAlignment="1">
      <alignment horizontal="left" vertical="top"/>
    </xf>
    <xf numFmtId="170" fontId="6" fillId="0" borderId="0" xfId="3" applyNumberFormat="1" applyFont="1" applyBorder="1" applyAlignment="1">
      <alignment horizontal="left" vertical="top"/>
    </xf>
    <xf numFmtId="167" fontId="6" fillId="0" borderId="0" xfId="1" applyFont="1" applyBorder="1" applyAlignment="1">
      <alignment horizontal="left" vertical="top"/>
    </xf>
    <xf numFmtId="167" fontId="9" fillId="0" borderId="0" xfId="1" applyFont="1" applyAlignment="1">
      <alignment horizontal="left" vertical="top"/>
    </xf>
    <xf numFmtId="0" fontId="10" fillId="0" borderId="0" xfId="0" applyFont="1" applyAlignment="1">
      <alignment horizontal="left" vertical="top"/>
    </xf>
    <xf numFmtId="167" fontId="6" fillId="0" borderId="3" xfId="1" applyFont="1" applyBorder="1" applyAlignment="1">
      <alignment horizontal="left" vertical="top"/>
    </xf>
    <xf numFmtId="167" fontId="9" fillId="0" borderId="4" xfId="1" applyFont="1" applyBorder="1" applyAlignment="1">
      <alignment horizontal="left" vertical="top"/>
    </xf>
    <xf numFmtId="167" fontId="9" fillId="0" borderId="5" xfId="1" applyFont="1" applyBorder="1" applyAlignment="1">
      <alignment horizontal="left" vertical="top"/>
    </xf>
    <xf numFmtId="167" fontId="6" fillId="0" borderId="6" xfId="1" applyFont="1" applyBorder="1" applyAlignment="1">
      <alignment horizontal="left" vertical="top"/>
    </xf>
    <xf numFmtId="167" fontId="9" fillId="0" borderId="7" xfId="1" applyFont="1" applyBorder="1" applyAlignment="1">
      <alignment horizontal="left" vertical="top"/>
    </xf>
    <xf numFmtId="167" fontId="9" fillId="0" borderId="8" xfId="1" applyFont="1" applyBorder="1" applyAlignment="1">
      <alignment horizontal="left" vertical="top"/>
    </xf>
    <xf numFmtId="10" fontId="6" fillId="0" borderId="0" xfId="0" applyNumberFormat="1" applyFont="1"/>
    <xf numFmtId="10" fontId="6" fillId="0" borderId="0" xfId="2" applyNumberFormat="1" applyFont="1"/>
    <xf numFmtId="167" fontId="10" fillId="0" borderId="0" xfId="1" applyFont="1" applyAlignment="1">
      <alignment horizontal="right" vertical="top"/>
    </xf>
    <xf numFmtId="10" fontId="10" fillId="0" borderId="0" xfId="2" applyNumberFormat="1" applyFont="1" applyAlignment="1">
      <alignment horizontal="right" vertical="top"/>
    </xf>
    <xf numFmtId="0" fontId="0" fillId="2" borderId="0" xfId="0" applyFill="1"/>
    <xf numFmtId="167" fontId="6" fillId="0" borderId="0" xfId="1" applyFont="1" applyBorder="1" applyAlignment="1">
      <alignment horizontal="right" vertical="top"/>
    </xf>
    <xf numFmtId="170" fontId="6" fillId="0" borderId="0" xfId="3" applyNumberFormat="1" applyFont="1" applyBorder="1" applyAlignment="1">
      <alignment horizontal="right" vertical="top"/>
    </xf>
    <xf numFmtId="167" fontId="6" fillId="0" borderId="0" xfId="1" applyFont="1" applyAlignment="1">
      <alignment horizontal="right" vertical="top"/>
    </xf>
    <xf numFmtId="170" fontId="0" fillId="0" borderId="0" xfId="3" applyNumberFormat="1" applyFont="1" applyAlignment="1">
      <alignment horizontal="left" vertical="top"/>
    </xf>
    <xf numFmtId="0" fontId="10" fillId="0" borderId="0" xfId="0" applyFont="1" applyAlignment="1">
      <alignment horizontal="center" vertical="top"/>
    </xf>
    <xf numFmtId="0" fontId="9" fillId="0" borderId="0" xfId="0" applyFont="1" applyAlignment="1">
      <alignment horizontal="right" vertical="top"/>
    </xf>
    <xf numFmtId="167" fontId="9" fillId="0" borderId="0" xfId="1" applyFont="1" applyAlignment="1">
      <alignment horizontal="right" vertical="top"/>
    </xf>
    <xf numFmtId="170" fontId="9" fillId="0" borderId="7" xfId="3" applyNumberFormat="1" applyFont="1" applyBorder="1" applyAlignment="1">
      <alignment horizontal="left" vertical="top"/>
    </xf>
    <xf numFmtId="170" fontId="9" fillId="0" borderId="8" xfId="3" applyNumberFormat="1" applyFont="1" applyBorder="1" applyAlignment="1">
      <alignment horizontal="left" vertical="top"/>
    </xf>
    <xf numFmtId="170" fontId="6" fillId="0" borderId="0" xfId="0" applyNumberFormat="1" applyFont="1" applyAlignment="1">
      <alignment horizontal="left" vertical="top"/>
    </xf>
    <xf numFmtId="1" fontId="6" fillId="0" borderId="0" xfId="0" applyNumberFormat="1" applyFont="1" applyAlignment="1">
      <alignment horizontal="left" vertical="top"/>
    </xf>
    <xf numFmtId="167" fontId="6" fillId="0" borderId="0" xfId="0" applyNumberFormat="1" applyFont="1" applyAlignment="1">
      <alignment horizontal="left" vertical="top"/>
    </xf>
    <xf numFmtId="0" fontId="0" fillId="0" borderId="0" xfId="0" applyAlignment="1">
      <alignment horizontal="center"/>
    </xf>
    <xf numFmtId="167" fontId="7" fillId="0" borderId="0" xfId="1" applyFont="1" applyAlignment="1">
      <alignment horizontal="left" vertical="top"/>
    </xf>
    <xf numFmtId="9" fontId="6" fillId="0" borderId="0" xfId="0" applyNumberFormat="1" applyFont="1" applyAlignment="1">
      <alignment horizontal="right" vertical="top"/>
    </xf>
    <xf numFmtId="10" fontId="6" fillId="0" borderId="0" xfId="0" applyNumberFormat="1" applyFont="1" applyAlignment="1">
      <alignment horizontal="left" vertical="top"/>
    </xf>
    <xf numFmtId="10" fontId="7" fillId="0" borderId="0" xfId="0" applyNumberFormat="1" applyFont="1" applyAlignment="1">
      <alignment horizontal="left" vertical="top"/>
    </xf>
    <xf numFmtId="170" fontId="6" fillId="0" borderId="0" xfId="3" applyNumberFormat="1" applyFont="1" applyAlignment="1">
      <alignment horizontal="right" vertical="top"/>
    </xf>
    <xf numFmtId="1" fontId="6" fillId="0" borderId="9" xfId="0" applyNumberFormat="1" applyFont="1" applyBorder="1" applyAlignment="1">
      <alignment horizontal="center"/>
    </xf>
    <xf numFmtId="0" fontId="6" fillId="0" borderId="9" xfId="0" applyFont="1" applyBorder="1" applyAlignment="1">
      <alignment horizontal="center"/>
    </xf>
    <xf numFmtId="9" fontId="6" fillId="0" borderId="9" xfId="2" applyFont="1" applyBorder="1" applyAlignment="1">
      <alignment horizontal="right"/>
    </xf>
    <xf numFmtId="0" fontId="6" fillId="0" borderId="9" xfId="0" applyFont="1" applyBorder="1" applyAlignment="1">
      <alignment horizontal="right"/>
    </xf>
    <xf numFmtId="2" fontId="6" fillId="0" borderId="9" xfId="0" applyNumberFormat="1" applyFont="1" applyBorder="1" applyAlignment="1">
      <alignment horizontal="center"/>
    </xf>
    <xf numFmtId="2" fontId="6" fillId="0" borderId="9" xfId="0" applyNumberFormat="1" applyFont="1" applyBorder="1" applyAlignment="1">
      <alignment horizontal="right"/>
    </xf>
    <xf numFmtId="9" fontId="6" fillId="0" borderId="9" xfId="0" applyNumberFormat="1" applyFont="1" applyBorder="1" applyAlignment="1">
      <alignment horizontal="right"/>
    </xf>
    <xf numFmtId="0" fontId="12" fillId="3" borderId="10" xfId="0" applyFont="1" applyFill="1" applyBorder="1" applyAlignment="1">
      <alignment horizontal="center"/>
    </xf>
    <xf numFmtId="0" fontId="12" fillId="3" borderId="9" xfId="0" applyFont="1" applyFill="1" applyBorder="1" applyAlignment="1">
      <alignment horizont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xf>
    <xf numFmtId="0" fontId="7" fillId="3" borderId="9" xfId="0" applyFont="1" applyFill="1" applyBorder="1" applyAlignment="1">
      <alignment horizontal="center"/>
    </xf>
    <xf numFmtId="10" fontId="6" fillId="0" borderId="9" xfId="0" applyNumberFormat="1" applyFont="1" applyBorder="1" applyAlignment="1">
      <alignment horizontal="center"/>
    </xf>
    <xf numFmtId="0" fontId="7" fillId="3"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3" fontId="5" fillId="0" borderId="9"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0" fontId="6" fillId="0" borderId="9" xfId="0" applyFont="1" applyBorder="1" applyAlignment="1">
      <alignment horizontal="left" vertical="top"/>
    </xf>
    <xf numFmtId="0" fontId="7" fillId="0" borderId="9" xfId="0" applyFont="1" applyBorder="1" applyAlignment="1">
      <alignment horizontal="center" vertical="top"/>
    </xf>
    <xf numFmtId="0" fontId="7" fillId="0" borderId="9" xfId="0" applyFont="1" applyBorder="1" applyAlignment="1">
      <alignment horizontal="left" vertical="top"/>
    </xf>
    <xf numFmtId="10" fontId="6" fillId="0" borderId="9" xfId="2" applyNumberFormat="1" applyFont="1" applyBorder="1" applyAlignment="1">
      <alignment horizontal="left" vertical="top"/>
    </xf>
    <xf numFmtId="167" fontId="6" fillId="0" borderId="9" xfId="1" applyFont="1" applyBorder="1" applyAlignment="1">
      <alignment horizontal="left" vertical="top"/>
    </xf>
    <xf numFmtId="170" fontId="6" fillId="0" borderId="9" xfId="3" applyNumberFormat="1" applyFont="1" applyBorder="1" applyAlignment="1">
      <alignment horizontal="left" vertical="top"/>
    </xf>
    <xf numFmtId="0" fontId="7" fillId="3" borderId="0" xfId="0" applyFont="1" applyFill="1" applyAlignment="1">
      <alignment horizontal="center" vertical="top"/>
    </xf>
    <xf numFmtId="0" fontId="6" fillId="0" borderId="11" xfId="0" applyFont="1" applyBorder="1" applyAlignment="1">
      <alignment horizontal="left" vertical="top"/>
    </xf>
    <xf numFmtId="0" fontId="6" fillId="0" borderId="11" xfId="0" applyFont="1" applyBorder="1" applyAlignment="1">
      <alignment horizontal="center" vertical="top"/>
    </xf>
    <xf numFmtId="0" fontId="6" fillId="0" borderId="0" xfId="0" applyFont="1" applyAlignment="1">
      <alignment horizontal="center" vertical="top"/>
    </xf>
    <xf numFmtId="0" fontId="7" fillId="3" borderId="9" xfId="0" applyFont="1" applyFill="1" applyBorder="1" applyAlignment="1">
      <alignment horizontal="center" vertical="top"/>
    </xf>
    <xf numFmtId="1" fontId="7" fillId="3" borderId="9" xfId="0" applyNumberFormat="1" applyFont="1" applyFill="1" applyBorder="1" applyAlignment="1">
      <alignment horizontal="center" vertical="top"/>
    </xf>
    <xf numFmtId="0" fontId="7" fillId="3" borderId="9" xfId="0" applyFont="1" applyFill="1" applyBorder="1" applyAlignment="1">
      <alignment horizontal="left" vertical="top"/>
    </xf>
    <xf numFmtId="0" fontId="6" fillId="3" borderId="9" xfId="0" applyFont="1" applyFill="1" applyBorder="1" applyAlignment="1">
      <alignment horizontal="left" vertical="top"/>
    </xf>
    <xf numFmtId="0" fontId="11" fillId="3" borderId="9" xfId="0" applyFont="1" applyFill="1" applyBorder="1" applyAlignment="1">
      <alignment horizontal="left" vertical="top"/>
    </xf>
    <xf numFmtId="0" fontId="11" fillId="3" borderId="9" xfId="0" applyFont="1" applyFill="1" applyBorder="1" applyAlignment="1">
      <alignment horizontal="left" vertical="top" wrapText="1"/>
    </xf>
    <xf numFmtId="167" fontId="11" fillId="3" borderId="9" xfId="0" applyNumberFormat="1" applyFont="1" applyFill="1" applyBorder="1" applyAlignment="1">
      <alignment horizontal="left" vertical="top"/>
    </xf>
    <xf numFmtId="170" fontId="11" fillId="3" borderId="9" xfId="3" applyNumberFormat="1" applyFont="1" applyFill="1" applyBorder="1" applyAlignment="1">
      <alignment horizontal="left" vertical="top"/>
    </xf>
    <xf numFmtId="0" fontId="6" fillId="2" borderId="9" xfId="0" applyFont="1" applyFill="1" applyBorder="1" applyAlignment="1">
      <alignment horizontal="left" vertical="top"/>
    </xf>
    <xf numFmtId="10" fontId="6" fillId="2" borderId="9" xfId="2" applyNumberFormat="1" applyFont="1" applyFill="1" applyBorder="1" applyAlignment="1">
      <alignment horizontal="left" vertical="top"/>
    </xf>
    <xf numFmtId="167" fontId="6" fillId="2" borderId="9" xfId="1" applyFont="1" applyFill="1" applyBorder="1" applyAlignment="1">
      <alignment horizontal="left" vertical="top"/>
    </xf>
    <xf numFmtId="170" fontId="6" fillId="2" borderId="9" xfId="3" applyNumberFormat="1" applyFont="1" applyFill="1" applyBorder="1" applyAlignment="1">
      <alignment horizontal="left" vertical="top"/>
    </xf>
    <xf numFmtId="0" fontId="11" fillId="3" borderId="12" xfId="0" applyFont="1" applyFill="1" applyBorder="1" applyAlignment="1">
      <alignment horizontal="left" vertical="top" wrapText="1"/>
    </xf>
    <xf numFmtId="0" fontId="11" fillId="3" borderId="12" xfId="0" applyFont="1" applyFill="1" applyBorder="1" applyAlignment="1">
      <alignment horizontal="left" vertical="top"/>
    </xf>
    <xf numFmtId="0" fontId="7" fillId="2" borderId="0" xfId="0" applyFont="1" applyFill="1" applyAlignment="1">
      <alignment horizontal="left" vertical="top"/>
    </xf>
    <xf numFmtId="170" fontId="6" fillId="3" borderId="9" xfId="3" applyNumberFormat="1" applyFont="1" applyFill="1" applyBorder="1" applyAlignment="1">
      <alignment horizontal="left" vertical="top"/>
    </xf>
    <xf numFmtId="170" fontId="7" fillId="3" borderId="2" xfId="3" applyNumberFormat="1" applyFont="1" applyFill="1" applyBorder="1" applyAlignment="1">
      <alignment horizontal="left" vertical="top"/>
    </xf>
    <xf numFmtId="9" fontId="6" fillId="0" borderId="9" xfId="2" applyFont="1" applyBorder="1" applyAlignment="1">
      <alignment horizontal="left" vertical="top"/>
    </xf>
    <xf numFmtId="1" fontId="6" fillId="0" borderId="9" xfId="0" applyNumberFormat="1" applyFont="1" applyBorder="1" applyAlignment="1">
      <alignment horizontal="left" vertical="top"/>
    </xf>
    <xf numFmtId="0" fontId="11" fillId="3" borderId="14" xfId="0" applyFont="1" applyFill="1" applyBorder="1"/>
    <xf numFmtId="0" fontId="11" fillId="3" borderId="12" xfId="0" applyFont="1" applyFill="1" applyBorder="1"/>
    <xf numFmtId="0" fontId="11" fillId="3" borderId="15" xfId="0" applyFont="1" applyFill="1" applyBorder="1"/>
    <xf numFmtId="0" fontId="11" fillId="3" borderId="16" xfId="0" applyFont="1" applyFill="1" applyBorder="1"/>
    <xf numFmtId="170" fontId="11" fillId="3" borderId="10" xfId="3" applyNumberFormat="1" applyFont="1" applyFill="1" applyBorder="1"/>
    <xf numFmtId="170" fontId="11" fillId="3" borderId="17" xfId="3" applyNumberFormat="1" applyFont="1" applyFill="1" applyBorder="1"/>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9" xfId="0" applyFont="1" applyFill="1" applyBorder="1" applyAlignment="1">
      <alignment vertical="center"/>
    </xf>
    <xf numFmtId="165" fontId="5" fillId="2" borderId="9" xfId="0" applyNumberFormat="1" applyFont="1" applyFill="1" applyBorder="1" applyAlignment="1">
      <alignment vertical="center"/>
    </xf>
    <xf numFmtId="0" fontId="5" fillId="2" borderId="9" xfId="0" applyFont="1" applyFill="1" applyBorder="1" applyAlignment="1">
      <alignment horizontal="center" vertical="center"/>
    </xf>
    <xf numFmtId="10" fontId="5" fillId="2" borderId="9" xfId="2" applyNumberFormat="1" applyFont="1" applyFill="1" applyBorder="1" applyAlignment="1">
      <alignment horizontal="center" vertical="center"/>
    </xf>
    <xf numFmtId="9" fontId="6" fillId="0" borderId="9" xfId="2" applyFont="1" applyBorder="1"/>
    <xf numFmtId="171" fontId="6" fillId="0" borderId="13" xfId="2" applyNumberFormat="1" applyFont="1" applyBorder="1"/>
    <xf numFmtId="0" fontId="5" fillId="2" borderId="16" xfId="0" applyFont="1" applyFill="1" applyBorder="1" applyAlignment="1">
      <alignment vertical="center"/>
    </xf>
    <xf numFmtId="165" fontId="5" fillId="2" borderId="10" xfId="0" applyNumberFormat="1" applyFont="1" applyFill="1" applyBorder="1" applyAlignment="1">
      <alignment vertical="center"/>
    </xf>
    <xf numFmtId="0" fontId="5" fillId="2" borderId="10" xfId="0" applyFont="1" applyFill="1" applyBorder="1" applyAlignment="1">
      <alignment horizontal="center" vertical="center"/>
    </xf>
    <xf numFmtId="10" fontId="5" fillId="2" borderId="10" xfId="2" applyNumberFormat="1" applyFont="1" applyFill="1" applyBorder="1" applyAlignment="1">
      <alignment horizontal="center" vertical="center"/>
    </xf>
    <xf numFmtId="171" fontId="6" fillId="0" borderId="17" xfId="2" applyNumberFormat="1" applyFont="1" applyBorder="1"/>
    <xf numFmtId="0" fontId="5" fillId="3" borderId="19" xfId="0" applyFont="1" applyFill="1" applyBorder="1" applyAlignment="1">
      <alignment horizontal="center" vertical="center"/>
    </xf>
    <xf numFmtId="165" fontId="5" fillId="3" borderId="9"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6" fillId="3" borderId="9" xfId="0" applyFont="1" applyFill="1" applyBorder="1"/>
    <xf numFmtId="0" fontId="6" fillId="3" borderId="13" xfId="0" applyFont="1" applyFill="1" applyBorder="1"/>
    <xf numFmtId="0" fontId="11" fillId="2" borderId="9" xfId="0" applyFont="1" applyFill="1" applyBorder="1" applyAlignment="1">
      <alignment horizontal="left" vertical="top"/>
    </xf>
    <xf numFmtId="0" fontId="11" fillId="2" borderId="9" xfId="0" applyFont="1" applyFill="1" applyBorder="1" applyAlignment="1">
      <alignment horizontal="left" vertical="top" wrapText="1"/>
    </xf>
    <xf numFmtId="170" fontId="11" fillId="2" borderId="9" xfId="3" applyNumberFormat="1" applyFont="1" applyFill="1" applyBorder="1" applyAlignment="1">
      <alignment horizontal="left" vertical="top"/>
    </xf>
    <xf numFmtId="170" fontId="11" fillId="2" borderId="13" xfId="3" applyNumberFormat="1" applyFont="1" applyFill="1" applyBorder="1" applyAlignment="1">
      <alignment horizontal="left" vertical="top"/>
    </xf>
    <xf numFmtId="0" fontId="11" fillId="3" borderId="13" xfId="0" applyFont="1" applyFill="1" applyBorder="1" applyAlignment="1">
      <alignment horizontal="left" vertical="top" wrapText="1"/>
    </xf>
    <xf numFmtId="170" fontId="13" fillId="4" borderId="9" xfId="3" applyNumberFormat="1" applyFont="1" applyFill="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170" fontId="11" fillId="2" borderId="19" xfId="3" applyNumberFormat="1" applyFont="1" applyFill="1" applyBorder="1" applyAlignment="1">
      <alignment horizontal="left" vertical="top"/>
    </xf>
    <xf numFmtId="0" fontId="11" fillId="3" borderId="14" xfId="0" applyFont="1" applyFill="1" applyBorder="1" applyAlignment="1">
      <alignment horizontal="left" vertical="top"/>
    </xf>
    <xf numFmtId="0" fontId="11" fillId="3" borderId="15" xfId="0" applyFont="1" applyFill="1" applyBorder="1" applyAlignment="1">
      <alignment horizontal="left" vertical="top"/>
    </xf>
    <xf numFmtId="10" fontId="11" fillId="3" borderId="19" xfId="2" applyNumberFormat="1" applyFont="1" applyFill="1" applyBorder="1" applyAlignment="1">
      <alignment horizontal="center" vertical="top"/>
    </xf>
    <xf numFmtId="10" fontId="11" fillId="3" borderId="9" xfId="2" applyNumberFormat="1" applyFont="1" applyFill="1" applyBorder="1" applyAlignment="1">
      <alignment horizontal="center" vertical="top"/>
    </xf>
    <xf numFmtId="10" fontId="11" fillId="3" borderId="13" xfId="2" applyNumberFormat="1" applyFont="1" applyFill="1" applyBorder="1" applyAlignment="1">
      <alignment horizontal="center" vertical="top"/>
    </xf>
    <xf numFmtId="0" fontId="11" fillId="3" borderId="16" xfId="0" applyFont="1" applyFill="1" applyBorder="1" applyAlignment="1">
      <alignment horizontal="left" vertical="top"/>
    </xf>
    <xf numFmtId="0" fontId="11" fillId="3" borderId="10" xfId="0" applyFont="1" applyFill="1" applyBorder="1" applyAlignment="1">
      <alignment horizontal="left" vertical="top"/>
    </xf>
    <xf numFmtId="167" fontId="11" fillId="3" borderId="17" xfId="0" applyNumberFormat="1" applyFont="1" applyFill="1" applyBorder="1" applyAlignment="1">
      <alignment horizontal="left" vertical="top"/>
    </xf>
    <xf numFmtId="167" fontId="11" fillId="3" borderId="9" xfId="1" applyFont="1" applyFill="1" applyBorder="1" applyAlignment="1">
      <alignment horizontal="left" vertical="top"/>
    </xf>
    <xf numFmtId="167" fontId="11" fillId="2" borderId="9" xfId="1" applyFont="1" applyFill="1" applyBorder="1" applyAlignment="1">
      <alignment horizontal="left" vertical="top"/>
    </xf>
    <xf numFmtId="0" fontId="11" fillId="2" borderId="9" xfId="0" applyFont="1" applyFill="1" applyBorder="1"/>
    <xf numFmtId="0" fontId="11" fillId="2" borderId="9" xfId="0" applyFont="1" applyFill="1" applyBorder="1" applyAlignment="1">
      <alignment vertical="center"/>
    </xf>
    <xf numFmtId="0" fontId="13" fillId="4" borderId="9" xfId="0" applyFont="1" applyFill="1" applyBorder="1" applyAlignment="1">
      <alignment horizontal="left" vertical="top" wrapText="1"/>
    </xf>
    <xf numFmtId="167" fontId="13" fillId="4" borderId="9" xfId="0" applyNumberFormat="1" applyFont="1" applyFill="1" applyBorder="1" applyAlignment="1">
      <alignment horizontal="left" vertical="top"/>
    </xf>
    <xf numFmtId="167" fontId="6" fillId="3" borderId="0" xfId="1" applyFont="1" applyFill="1" applyAlignment="1">
      <alignment horizontal="left" vertical="top"/>
    </xf>
    <xf numFmtId="0" fontId="11" fillId="2" borderId="19" xfId="0" applyFont="1" applyFill="1" applyBorder="1"/>
    <xf numFmtId="0" fontId="11" fillId="3" borderId="14" xfId="0" applyFont="1" applyFill="1" applyBorder="1" applyAlignment="1">
      <alignment horizontal="left" vertical="top" wrapText="1"/>
    </xf>
    <xf numFmtId="167" fontId="11" fillId="3" borderId="12" xfId="1" applyFont="1" applyFill="1" applyBorder="1" applyAlignment="1">
      <alignment horizontal="left" vertical="top"/>
    </xf>
    <xf numFmtId="167" fontId="11" fillId="3" borderId="15" xfId="1" applyFont="1" applyFill="1" applyBorder="1" applyAlignment="1">
      <alignment horizontal="left" vertical="top"/>
    </xf>
    <xf numFmtId="0" fontId="11" fillId="3" borderId="16" xfId="0" applyFont="1" applyFill="1" applyBorder="1" applyAlignment="1">
      <alignment horizontal="left" vertical="top" wrapText="1"/>
    </xf>
    <xf numFmtId="0" fontId="11" fillId="3" borderId="10" xfId="0" applyFont="1" applyFill="1" applyBorder="1" applyAlignment="1">
      <alignment horizontal="left" vertical="top" wrapText="1"/>
    </xf>
    <xf numFmtId="167" fontId="11" fillId="3" borderId="10" xfId="0" applyNumberFormat="1" applyFont="1" applyFill="1" applyBorder="1" applyAlignment="1">
      <alignment horizontal="left" vertical="top"/>
    </xf>
    <xf numFmtId="170" fontId="11" fillId="3" borderId="10" xfId="3" applyNumberFormat="1" applyFont="1" applyFill="1" applyBorder="1" applyAlignment="1">
      <alignment horizontal="left" vertical="top"/>
    </xf>
    <xf numFmtId="170" fontId="11" fillId="3" borderId="17" xfId="3" applyNumberFormat="1" applyFont="1" applyFill="1" applyBorder="1" applyAlignment="1">
      <alignment horizontal="left" vertical="top"/>
    </xf>
    <xf numFmtId="0" fontId="13" fillId="2" borderId="9" xfId="0" applyFont="1" applyFill="1" applyBorder="1" applyAlignment="1">
      <alignment horizontal="left" vertical="top" wrapText="1"/>
    </xf>
    <xf numFmtId="0" fontId="11" fillId="2" borderId="19" xfId="0" applyFont="1" applyFill="1" applyBorder="1" applyAlignment="1">
      <alignment horizontal="left" vertical="top"/>
    </xf>
    <xf numFmtId="170" fontId="11" fillId="2" borderId="9" xfId="3" applyNumberFormat="1" applyFont="1" applyFill="1" applyBorder="1"/>
    <xf numFmtId="170" fontId="11" fillId="2" borderId="13" xfId="3" applyNumberFormat="1" applyFont="1" applyFill="1" applyBorder="1"/>
    <xf numFmtId="170" fontId="11" fillId="3" borderId="12" xfId="3" applyNumberFormat="1" applyFont="1" applyFill="1" applyBorder="1"/>
    <xf numFmtId="170" fontId="11" fillId="3" borderId="15" xfId="3" applyNumberFormat="1" applyFont="1" applyFill="1" applyBorder="1"/>
    <xf numFmtId="170" fontId="11" fillId="3" borderId="10" xfId="0" applyNumberFormat="1" applyFont="1" applyFill="1" applyBorder="1"/>
    <xf numFmtId="170" fontId="11" fillId="3" borderId="17" xfId="0" applyNumberFormat="1" applyFont="1" applyFill="1" applyBorder="1"/>
    <xf numFmtId="0" fontId="13" fillId="4" borderId="9" xfId="0" applyFont="1" applyFill="1" applyBorder="1" applyAlignment="1">
      <alignment horizontal="left" vertical="top"/>
    </xf>
    <xf numFmtId="167" fontId="13" fillId="4" borderId="9" xfId="1" applyFont="1" applyFill="1" applyBorder="1" applyAlignment="1">
      <alignment horizontal="left" vertical="top"/>
    </xf>
    <xf numFmtId="167" fontId="6" fillId="3" borderId="9" xfId="1" applyFont="1" applyFill="1" applyBorder="1" applyAlignment="1">
      <alignment horizontal="left" vertical="top"/>
    </xf>
    <xf numFmtId="167" fontId="7" fillId="3" borderId="9" xfId="1" applyFont="1" applyFill="1" applyBorder="1" applyAlignment="1">
      <alignment horizontal="left" vertical="top"/>
    </xf>
    <xf numFmtId="170" fontId="7" fillId="3" borderId="9" xfId="3" applyNumberFormat="1" applyFont="1" applyFill="1" applyBorder="1" applyAlignment="1">
      <alignment horizontal="left" vertical="top"/>
    </xf>
    <xf numFmtId="9" fontId="11" fillId="2" borderId="9" xfId="2" applyFont="1" applyFill="1" applyBorder="1" applyAlignment="1">
      <alignment horizontal="left" vertical="top"/>
    </xf>
    <xf numFmtId="167" fontId="11" fillId="3" borderId="12" xfId="1" applyFont="1" applyFill="1" applyBorder="1" applyAlignment="1">
      <alignment horizontal="left" vertical="top" wrapText="1"/>
    </xf>
    <xf numFmtId="9" fontId="11" fillId="3" borderId="12" xfId="2" applyFont="1" applyFill="1" applyBorder="1" applyAlignment="1">
      <alignment horizontal="left" vertical="top" wrapText="1"/>
    </xf>
    <xf numFmtId="9" fontId="11" fillId="3" borderId="10" xfId="0" applyNumberFormat="1" applyFont="1" applyFill="1" applyBorder="1" applyAlignment="1">
      <alignment horizontal="left" vertical="top"/>
    </xf>
    <xf numFmtId="0" fontId="6" fillId="0" borderId="9" xfId="3" applyNumberFormat="1" applyFont="1" applyBorder="1" applyAlignment="1">
      <alignment horizontal="right" vertical="top"/>
    </xf>
    <xf numFmtId="167" fontId="11" fillId="3" borderId="15" xfId="1" applyFont="1" applyFill="1" applyBorder="1" applyAlignment="1">
      <alignment horizontal="left" vertical="top" wrapText="1"/>
    </xf>
    <xf numFmtId="0" fontId="6" fillId="0" borderId="0" xfId="3" applyNumberFormat="1" applyFont="1" applyBorder="1" applyAlignment="1">
      <alignment horizontal="right" vertical="top"/>
    </xf>
    <xf numFmtId="9" fontId="7" fillId="0" borderId="0" xfId="2" applyFont="1" applyBorder="1" applyAlignment="1">
      <alignment horizontal="center" vertical="top"/>
    </xf>
    <xf numFmtId="167" fontId="7" fillId="0" borderId="0" xfId="1" applyFont="1" applyBorder="1" applyAlignment="1">
      <alignment horizontal="center" vertical="top"/>
    </xf>
    <xf numFmtId="167" fontId="7" fillId="0" borderId="9" xfId="1" applyFont="1" applyBorder="1" applyAlignment="1">
      <alignment horizontal="center" vertical="top"/>
    </xf>
    <xf numFmtId="9" fontId="7" fillId="0" borderId="9" xfId="2" applyFont="1" applyBorder="1" applyAlignment="1">
      <alignment horizontal="center" vertical="top"/>
    </xf>
    <xf numFmtId="166" fontId="6" fillId="0" borderId="9" xfId="4" applyFont="1" applyBorder="1" applyAlignment="1">
      <alignment horizontal="left" vertical="top"/>
    </xf>
    <xf numFmtId="0" fontId="7" fillId="2" borderId="9" xfId="0" applyFont="1" applyFill="1" applyBorder="1" applyAlignment="1">
      <alignment horizontal="center" vertical="top"/>
    </xf>
    <xf numFmtId="167" fontId="7" fillId="2" borderId="9" xfId="1" applyFont="1" applyFill="1" applyBorder="1" applyAlignment="1">
      <alignment horizontal="center" vertical="top"/>
    </xf>
    <xf numFmtId="9" fontId="7" fillId="2" borderId="9" xfId="2" applyFont="1" applyFill="1" applyBorder="1" applyAlignment="1">
      <alignment horizontal="center" vertical="top"/>
    </xf>
    <xf numFmtId="0" fontId="6" fillId="5" borderId="9" xfId="0" applyFont="1" applyFill="1" applyBorder="1" applyAlignment="1">
      <alignment horizontal="left" vertical="top"/>
    </xf>
    <xf numFmtId="166" fontId="6" fillId="2" borderId="9" xfId="4" applyFont="1" applyFill="1" applyBorder="1" applyAlignment="1">
      <alignment horizontal="left" vertical="top"/>
    </xf>
    <xf numFmtId="167" fontId="7" fillId="3" borderId="9" xfId="1" applyFont="1" applyFill="1" applyBorder="1" applyAlignment="1">
      <alignment horizontal="center" vertical="top"/>
    </xf>
    <xf numFmtId="9" fontId="7" fillId="3" borderId="9" xfId="2" applyFont="1" applyFill="1" applyBorder="1" applyAlignment="1">
      <alignment horizontal="center" vertical="top"/>
    </xf>
    <xf numFmtId="166" fontId="6" fillId="3" borderId="9" xfId="4" applyFont="1" applyFill="1" applyBorder="1" applyAlignment="1">
      <alignment horizontal="left" vertical="top"/>
    </xf>
    <xf numFmtId="9" fontId="6" fillId="2" borderId="9" xfId="2" applyFont="1" applyFill="1" applyBorder="1" applyAlignment="1">
      <alignment horizontal="left" vertical="top"/>
    </xf>
    <xf numFmtId="170" fontId="6" fillId="0" borderId="9" xfId="0" applyNumberFormat="1" applyFont="1" applyBorder="1" applyAlignment="1">
      <alignment horizontal="left" vertical="top"/>
    </xf>
    <xf numFmtId="9" fontId="6" fillId="0" borderId="9" xfId="0" applyNumberFormat="1" applyFont="1" applyBorder="1" applyAlignment="1">
      <alignment horizontal="left" vertical="top"/>
    </xf>
    <xf numFmtId="9" fontId="6" fillId="3" borderId="9" xfId="0" applyNumberFormat="1" applyFont="1" applyFill="1" applyBorder="1" applyAlignment="1">
      <alignment horizontal="left" vertical="top"/>
    </xf>
    <xf numFmtId="168" fontId="6" fillId="3" borderId="9" xfId="3" applyFont="1" applyFill="1" applyBorder="1" applyAlignment="1">
      <alignment horizontal="left" vertical="top"/>
    </xf>
    <xf numFmtId="0" fontId="6" fillId="0" borderId="9" xfId="1" applyNumberFormat="1" applyFont="1" applyBorder="1" applyAlignment="1">
      <alignment horizontal="left" vertical="top"/>
    </xf>
    <xf numFmtId="10" fontId="6" fillId="0" borderId="9" xfId="1" applyNumberFormat="1" applyFont="1" applyBorder="1" applyAlignment="1">
      <alignment horizontal="left" vertical="top"/>
    </xf>
    <xf numFmtId="167" fontId="6" fillId="0" borderId="4" xfId="1" applyFont="1" applyBorder="1" applyAlignment="1">
      <alignment horizontal="left" vertical="top"/>
    </xf>
    <xf numFmtId="170" fontId="6" fillId="0" borderId="7" xfId="3" applyNumberFormat="1" applyFont="1" applyBorder="1" applyAlignment="1">
      <alignment horizontal="left" vertical="top"/>
    </xf>
    <xf numFmtId="166" fontId="11" fillId="2" borderId="9" xfId="4" applyFont="1" applyFill="1" applyBorder="1" applyAlignment="1">
      <alignment horizontal="right" vertical="top"/>
    </xf>
    <xf numFmtId="167" fontId="11" fillId="3" borderId="9" xfId="1" applyFont="1" applyFill="1" applyBorder="1" applyAlignment="1">
      <alignment horizontal="right" vertical="top"/>
    </xf>
    <xf numFmtId="0" fontId="13" fillId="3" borderId="9" xfId="0" applyFont="1" applyFill="1" applyBorder="1" applyAlignment="1">
      <alignment horizontal="left" vertical="top"/>
    </xf>
    <xf numFmtId="166" fontId="13" fillId="3" borderId="9" xfId="4" applyFont="1" applyFill="1" applyBorder="1" applyAlignment="1">
      <alignment horizontal="right" vertical="top"/>
    </xf>
    <xf numFmtId="167" fontId="13" fillId="3" borderId="9" xfId="1" applyFont="1" applyFill="1" applyBorder="1" applyAlignment="1">
      <alignment horizontal="center" vertical="top"/>
    </xf>
    <xf numFmtId="167" fontId="6" fillId="0" borderId="9" xfId="1" applyFont="1" applyBorder="1" applyAlignment="1">
      <alignment horizontal="right" vertical="top"/>
    </xf>
    <xf numFmtId="170" fontId="6" fillId="0" borderId="9" xfId="3" applyNumberFormat="1" applyFont="1" applyBorder="1" applyAlignment="1">
      <alignment horizontal="right" vertical="top"/>
    </xf>
    <xf numFmtId="170" fontId="11" fillId="2" borderId="9" xfId="3" applyNumberFormat="1" applyFont="1" applyFill="1" applyBorder="1" applyAlignment="1">
      <alignment horizontal="right" vertical="top"/>
    </xf>
    <xf numFmtId="9" fontId="11" fillId="2" borderId="9" xfId="2" applyFont="1" applyFill="1" applyBorder="1" applyAlignment="1">
      <alignment horizontal="right" vertical="top"/>
    </xf>
    <xf numFmtId="0" fontId="13" fillId="3" borderId="9" xfId="0" applyFont="1" applyFill="1" applyBorder="1" applyAlignment="1">
      <alignment horizontal="center" vertical="top"/>
    </xf>
    <xf numFmtId="170" fontId="11" fillId="3" borderId="9" xfId="3" applyNumberFormat="1" applyFont="1" applyFill="1" applyBorder="1" applyAlignment="1">
      <alignment horizontal="right" vertical="top"/>
    </xf>
    <xf numFmtId="170" fontId="13" fillId="3" borderId="9" xfId="3" applyNumberFormat="1" applyFont="1" applyFill="1" applyBorder="1" applyAlignment="1">
      <alignment horizontal="right" vertical="top"/>
    </xf>
    <xf numFmtId="170" fontId="13" fillId="3" borderId="9" xfId="3" applyNumberFormat="1" applyFont="1" applyFill="1" applyBorder="1" applyAlignment="1">
      <alignment horizontal="left" vertical="top"/>
    </xf>
    <xf numFmtId="170" fontId="7" fillId="0" borderId="9" xfId="3" applyNumberFormat="1" applyFont="1" applyBorder="1" applyAlignment="1">
      <alignment horizontal="right" vertical="top"/>
    </xf>
    <xf numFmtId="167" fontId="6" fillId="3" borderId="9" xfId="1" applyFont="1" applyFill="1" applyBorder="1" applyAlignment="1">
      <alignment horizontal="right" vertical="top"/>
    </xf>
    <xf numFmtId="170" fontId="6" fillId="3" borderId="9" xfId="3" applyNumberFormat="1" applyFont="1" applyFill="1" applyBorder="1" applyAlignment="1">
      <alignment horizontal="right" vertical="top"/>
    </xf>
    <xf numFmtId="170" fontId="7" fillId="3" borderId="9" xfId="3" applyNumberFormat="1" applyFont="1" applyFill="1" applyBorder="1" applyAlignment="1">
      <alignment horizontal="right" vertical="top"/>
    </xf>
    <xf numFmtId="169" fontId="7" fillId="0" borderId="9" xfId="1" applyNumberFormat="1" applyFont="1" applyBorder="1" applyAlignment="1">
      <alignment horizontal="right" vertical="top"/>
    </xf>
    <xf numFmtId="164" fontId="7" fillId="0" borderId="9" xfId="1" applyNumberFormat="1" applyFont="1" applyBorder="1" applyAlignment="1">
      <alignment horizontal="right" vertical="top"/>
    </xf>
    <xf numFmtId="10" fontId="7" fillId="0" borderId="9" xfId="1" applyNumberFormat="1" applyFont="1" applyBorder="1" applyAlignment="1">
      <alignment horizontal="right" vertical="top"/>
    </xf>
    <xf numFmtId="172" fontId="7" fillId="0" borderId="9" xfId="1" applyNumberFormat="1" applyFont="1" applyBorder="1" applyAlignment="1">
      <alignment horizontal="right" vertical="top"/>
    </xf>
    <xf numFmtId="167" fontId="7" fillId="0" borderId="9" xfId="1" applyFont="1" applyBorder="1" applyAlignment="1">
      <alignment horizontal="left" vertical="top"/>
    </xf>
    <xf numFmtId="167" fontId="7" fillId="0" borderId="9" xfId="1" applyFont="1" applyBorder="1" applyAlignment="1">
      <alignment horizontal="left" vertical="top" wrapText="1"/>
    </xf>
    <xf numFmtId="9" fontId="7" fillId="3" borderId="9" xfId="1" applyNumberFormat="1" applyFont="1" applyFill="1" applyBorder="1" applyAlignment="1">
      <alignment horizontal="right" vertical="top"/>
    </xf>
    <xf numFmtId="0" fontId="6" fillId="0" borderId="17" xfId="0" applyFont="1" applyBorder="1" applyAlignment="1">
      <alignment horizontal="left" vertical="top"/>
    </xf>
    <xf numFmtId="167" fontId="6" fillId="0" borderId="16" xfId="1" applyFont="1" applyBorder="1" applyAlignment="1">
      <alignment horizontal="left" vertical="top"/>
    </xf>
    <xf numFmtId="0" fontId="6" fillId="0" borderId="20" xfId="0" applyFont="1" applyBorder="1" applyAlignment="1">
      <alignment horizontal="left" vertical="top"/>
    </xf>
    <xf numFmtId="170" fontId="6" fillId="0" borderId="21" xfId="3" applyNumberFormat="1" applyFont="1" applyBorder="1" applyAlignment="1">
      <alignment horizontal="left" vertical="top"/>
    </xf>
    <xf numFmtId="170" fontId="6" fillId="0" borderId="16" xfId="3" applyNumberFormat="1" applyFont="1" applyBorder="1" applyAlignment="1">
      <alignment horizontal="left" vertical="top"/>
    </xf>
    <xf numFmtId="170" fontId="6" fillId="0" borderId="14" xfId="3" applyNumberFormat="1" applyFont="1" applyBorder="1" applyAlignment="1">
      <alignment horizontal="left" vertical="top"/>
    </xf>
    <xf numFmtId="0" fontId="7" fillId="0" borderId="17" xfId="0" applyFont="1" applyBorder="1" applyAlignment="1">
      <alignment horizontal="left" vertical="top"/>
    </xf>
    <xf numFmtId="0" fontId="7" fillId="3" borderId="0" xfId="0" applyFont="1" applyFill="1" applyAlignment="1">
      <alignment horizontal="left" vertical="top"/>
    </xf>
    <xf numFmtId="9" fontId="6" fillId="0" borderId="18" xfId="0" applyNumberFormat="1" applyFont="1" applyBorder="1" applyAlignment="1">
      <alignment horizontal="right" vertical="top"/>
    </xf>
    <xf numFmtId="9" fontId="6" fillId="0" borderId="11" xfId="0" applyNumberFormat="1" applyFont="1" applyBorder="1" applyAlignment="1">
      <alignment horizontal="left" vertical="top"/>
    </xf>
    <xf numFmtId="167" fontId="6" fillId="0" borderId="18" xfId="1" applyFont="1" applyBorder="1" applyAlignment="1">
      <alignment horizontal="left" vertical="top"/>
    </xf>
    <xf numFmtId="0" fontId="6" fillId="0" borderId="21" xfId="0" applyFont="1" applyBorder="1" applyAlignment="1">
      <alignment horizontal="left" vertical="top"/>
    </xf>
    <xf numFmtId="170" fontId="6" fillId="0" borderId="20" xfId="3" applyNumberFormat="1" applyFont="1" applyBorder="1" applyAlignment="1">
      <alignment horizontal="left" vertical="top"/>
    </xf>
    <xf numFmtId="167" fontId="6" fillId="0" borderId="21" xfId="0" applyNumberFormat="1" applyFont="1" applyBorder="1" applyAlignment="1">
      <alignment horizontal="left" vertical="top"/>
    </xf>
    <xf numFmtId="0" fontId="7" fillId="0" borderId="20" xfId="0" applyFont="1" applyBorder="1" applyAlignment="1">
      <alignment horizontal="left" vertical="top"/>
    </xf>
    <xf numFmtId="167" fontId="7" fillId="0" borderId="21" xfId="0" applyNumberFormat="1" applyFont="1" applyBorder="1" applyAlignment="1">
      <alignment horizontal="left" vertical="top"/>
    </xf>
    <xf numFmtId="0" fontId="7" fillId="3" borderId="0" xfId="0" applyFont="1" applyFill="1" applyAlignment="1">
      <alignment horizontal="center"/>
    </xf>
    <xf numFmtId="0" fontId="7" fillId="3" borderId="20" xfId="0" applyFont="1" applyFill="1" applyBorder="1" applyAlignment="1">
      <alignment horizontal="center"/>
    </xf>
    <xf numFmtId="1" fontId="6" fillId="0" borderId="10" xfId="0" applyNumberFormat="1" applyFont="1" applyBorder="1" applyAlignment="1">
      <alignment horizontal="center"/>
    </xf>
    <xf numFmtId="0" fontId="6" fillId="0" borderId="22" xfId="0" applyFont="1" applyBorder="1"/>
    <xf numFmtId="1" fontId="6" fillId="0" borderId="23" xfId="0" applyNumberFormat="1" applyFont="1" applyBorder="1" applyAlignment="1">
      <alignment horizontal="center"/>
    </xf>
    <xf numFmtId="1" fontId="7" fillId="0" borderId="9" xfId="0" applyNumberFormat="1" applyFont="1" applyBorder="1" applyAlignment="1">
      <alignment horizontal="center" vertical="top"/>
    </xf>
    <xf numFmtId="1" fontId="6" fillId="0" borderId="2" xfId="0" applyNumberFormat="1" applyFont="1" applyBorder="1" applyAlignment="1">
      <alignment horizontal="left" vertical="top"/>
    </xf>
    <xf numFmtId="0" fontId="14" fillId="0" borderId="0" xfId="0" applyFont="1"/>
    <xf numFmtId="3" fontId="6" fillId="0" borderId="0" xfId="0" applyNumberFormat="1" applyFont="1" applyAlignment="1">
      <alignment horizontal="left" vertical="top"/>
    </xf>
    <xf numFmtId="170" fontId="11" fillId="3" borderId="9" xfId="0" applyNumberFormat="1" applyFont="1" applyFill="1" applyBorder="1" applyAlignment="1">
      <alignment horizontal="left" vertical="top"/>
    </xf>
    <xf numFmtId="0" fontId="8" fillId="3" borderId="0" xfId="0" applyFont="1" applyFill="1" applyAlignment="1">
      <alignment horizontal="center" vertical="center"/>
    </xf>
    <xf numFmtId="0" fontId="7" fillId="0" borderId="12" xfId="0" applyFont="1" applyBorder="1" applyAlignment="1">
      <alignment horizontal="center" vertical="top"/>
    </xf>
    <xf numFmtId="0" fontId="0" fillId="0" borderId="2" xfId="0" applyBorder="1" applyAlignment="1">
      <alignment horizontal="left" vertical="top"/>
    </xf>
    <xf numFmtId="0" fontId="7" fillId="0" borderId="2" xfId="0" applyFont="1" applyBorder="1" applyAlignment="1">
      <alignment horizontal="left" vertical="top"/>
    </xf>
    <xf numFmtId="2" fontId="6" fillId="0" borderId="2" xfId="0" applyNumberFormat="1" applyFont="1" applyBorder="1" applyAlignment="1">
      <alignment horizontal="left" vertical="top"/>
    </xf>
    <xf numFmtId="2" fontId="7" fillId="0" borderId="2" xfId="0" applyNumberFormat="1" applyFont="1" applyBorder="1" applyAlignment="1">
      <alignment horizontal="left"/>
    </xf>
    <xf numFmtId="170" fontId="0" fillId="0" borderId="2" xfId="0" applyNumberFormat="1" applyBorder="1" applyAlignment="1">
      <alignment horizontal="left" vertical="top"/>
    </xf>
    <xf numFmtId="170" fontId="6" fillId="0" borderId="2" xfId="0" applyNumberFormat="1" applyFont="1" applyBorder="1" applyAlignment="1">
      <alignment horizontal="left" vertical="top"/>
    </xf>
    <xf numFmtId="170" fontId="0" fillId="0" borderId="2" xfId="3" applyNumberFormat="1" applyFont="1" applyBorder="1" applyAlignment="1">
      <alignment horizontal="left" vertical="top"/>
    </xf>
    <xf numFmtId="0" fontId="2" fillId="0" borderId="2" xfId="0" applyFont="1" applyBorder="1" applyAlignment="1">
      <alignment horizontal="left" vertical="top"/>
    </xf>
    <xf numFmtId="9" fontId="6" fillId="0" borderId="0" xfId="2" applyFont="1" applyAlignment="1">
      <alignment horizontal="right" vertical="top"/>
    </xf>
    <xf numFmtId="0" fontId="13" fillId="0" borderId="9" xfId="0" applyFont="1" applyFill="1" applyBorder="1" applyAlignment="1">
      <alignment horizontal="left" vertical="top" wrapText="1"/>
    </xf>
    <xf numFmtId="0" fontId="6" fillId="0" borderId="0" xfId="1" applyNumberFormat="1" applyFont="1" applyBorder="1" applyAlignment="1">
      <alignment horizontal="center" vertical="top"/>
    </xf>
    <xf numFmtId="169" fontId="6" fillId="0" borderId="0" xfId="1" applyNumberFormat="1" applyFont="1" applyBorder="1" applyAlignment="1">
      <alignment horizontal="right" vertical="top"/>
    </xf>
    <xf numFmtId="0" fontId="7" fillId="0" borderId="0" xfId="1" applyNumberFormat="1" applyFont="1" applyBorder="1" applyAlignment="1">
      <alignment horizontal="center" vertical="top"/>
    </xf>
    <xf numFmtId="169" fontId="7" fillId="0" borderId="0" xfId="1" applyNumberFormat="1" applyFont="1" applyBorder="1" applyAlignment="1">
      <alignment horizontal="right" vertical="top"/>
    </xf>
    <xf numFmtId="10" fontId="6" fillId="0" borderId="2" xfId="2" applyNumberFormat="1" applyFont="1" applyBorder="1" applyAlignment="1">
      <alignment horizontal="right" vertical="top"/>
    </xf>
    <xf numFmtId="0" fontId="6" fillId="0" borderId="2" xfId="1" applyNumberFormat="1" applyFont="1" applyBorder="1" applyAlignment="1">
      <alignment horizontal="center" vertical="top"/>
    </xf>
    <xf numFmtId="167" fontId="6" fillId="0" borderId="2" xfId="1" applyFont="1" applyBorder="1" applyAlignment="1">
      <alignment horizontal="right" vertical="top"/>
    </xf>
    <xf numFmtId="166" fontId="6" fillId="0" borderId="0" xfId="0" applyNumberFormat="1" applyFont="1" applyAlignment="1">
      <alignment horizontal="left" vertical="top"/>
    </xf>
    <xf numFmtId="9" fontId="6" fillId="0" borderId="0" xfId="2" applyFont="1"/>
    <xf numFmtId="0" fontId="5" fillId="0" borderId="2" xfId="0" applyFont="1" applyBorder="1"/>
    <xf numFmtId="0" fontId="8" fillId="3" borderId="9" xfId="0" applyFont="1" applyFill="1" applyBorder="1" applyAlignment="1">
      <alignment horizontal="center"/>
    </xf>
    <xf numFmtId="0" fontId="11" fillId="3" borderId="9" xfId="0" applyFont="1" applyFill="1" applyBorder="1" applyAlignment="1"/>
    <xf numFmtId="0" fontId="5" fillId="0" borderId="9" xfId="0" applyFont="1" applyBorder="1" applyAlignment="1">
      <alignment horizontal="left"/>
    </xf>
    <xf numFmtId="0" fontId="11" fillId="0" borderId="9" xfId="0" applyFont="1" applyBorder="1" applyAlignment="1"/>
    <xf numFmtId="0" fontId="6" fillId="0" borderId="9" xfId="0" applyFont="1" applyBorder="1" applyAlignment="1">
      <alignment horizontal="left"/>
    </xf>
    <xf numFmtId="0" fontId="7" fillId="3" borderId="2" xfId="0" applyFont="1" applyFill="1" applyBorder="1" applyAlignment="1">
      <alignment horizontal="center" vertical="top"/>
    </xf>
    <xf numFmtId="0" fontId="6" fillId="0" borderId="2" xfId="0" applyFont="1" applyBorder="1" applyAlignment="1">
      <alignment horizontal="center" vertical="top"/>
    </xf>
    <xf numFmtId="0" fontId="6" fillId="0" borderId="24" xfId="0" applyFont="1" applyBorder="1" applyAlignment="1">
      <alignment horizontal="center" vertical="top"/>
    </xf>
    <xf numFmtId="0" fontId="6" fillId="0" borderId="25" xfId="0" applyFont="1" applyBorder="1" applyAlignment="1">
      <alignment horizontal="center" vertical="top"/>
    </xf>
    <xf numFmtId="0" fontId="7" fillId="0" borderId="2" xfId="0" applyFont="1" applyBorder="1" applyAlignment="1">
      <alignment horizontal="center" vertical="top"/>
    </xf>
    <xf numFmtId="0" fontId="6" fillId="0" borderId="9" xfId="0" applyFont="1" applyBorder="1" applyAlignment="1">
      <alignment horizontal="center" vertical="top"/>
    </xf>
    <xf numFmtId="0" fontId="6" fillId="0" borderId="0" xfId="0" applyFont="1" applyAlignment="1">
      <alignment horizontal="center" vertical="top"/>
    </xf>
    <xf numFmtId="0" fontId="6" fillId="3" borderId="9" xfId="0" applyFont="1" applyFill="1" applyBorder="1" applyAlignment="1">
      <alignment horizontal="center" vertical="top"/>
    </xf>
    <xf numFmtId="0" fontId="13" fillId="3" borderId="9" xfId="0" applyFont="1" applyFill="1" applyBorder="1" applyAlignment="1">
      <alignment horizontal="center" vertical="top"/>
    </xf>
    <xf numFmtId="0" fontId="7" fillId="3" borderId="9" xfId="0" applyFont="1" applyFill="1" applyBorder="1" applyAlignment="1">
      <alignment horizontal="center" vertical="top"/>
    </xf>
    <xf numFmtId="167" fontId="6" fillId="0" borderId="0" xfId="1" applyFont="1" applyBorder="1" applyAlignment="1">
      <alignment horizontal="center" vertical="top"/>
    </xf>
    <xf numFmtId="0" fontId="0" fillId="0" borderId="26" xfId="0" applyBorder="1"/>
    <xf numFmtId="0" fontId="6" fillId="0" borderId="27" xfId="0" applyFont="1" applyBorder="1"/>
    <xf numFmtId="0" fontId="0" fillId="0" borderId="28" xfId="0" applyBorder="1"/>
    <xf numFmtId="0" fontId="6" fillId="0" borderId="28" xfId="0" applyFont="1" applyBorder="1"/>
    <xf numFmtId="0" fontId="6" fillId="0" borderId="29" xfId="0" applyFont="1" applyBorder="1"/>
    <xf numFmtId="1" fontId="6" fillId="0" borderId="29" xfId="0" applyNumberFormat="1" applyFont="1" applyBorder="1"/>
    <xf numFmtId="0" fontId="14" fillId="0" borderId="29" xfId="0" applyFont="1" applyBorder="1"/>
    <xf numFmtId="10" fontId="6" fillId="0" borderId="29" xfId="0" applyNumberFormat="1" applyFont="1" applyBorder="1" applyAlignment="1">
      <alignment horizontal="left"/>
    </xf>
    <xf numFmtId="10" fontId="14" fillId="0" borderId="29" xfId="0" applyNumberFormat="1" applyFont="1" applyBorder="1" applyAlignment="1">
      <alignment horizontal="left"/>
    </xf>
    <xf numFmtId="0" fontId="6" fillId="0" borderId="29" xfId="0" applyFont="1" applyBorder="1" applyAlignment="1">
      <alignment horizontal="center"/>
    </xf>
    <xf numFmtId="0" fontId="14" fillId="0" borderId="29" xfId="0" applyFont="1" applyBorder="1" applyAlignment="1">
      <alignment horizontal="center"/>
    </xf>
    <xf numFmtId="9" fontId="6" fillId="0" borderId="29" xfId="0" applyNumberFormat="1" applyFont="1" applyBorder="1" applyAlignment="1">
      <alignment horizontal="left"/>
    </xf>
    <xf numFmtId="0" fontId="7" fillId="3" borderId="29" xfId="0" applyFont="1" applyFill="1" applyBorder="1" applyAlignment="1">
      <alignment horizontal="center"/>
    </xf>
  </cellXfs>
  <cellStyles count="5">
    <cellStyle name="Millares [0]" xfId="1" builtinId="6"/>
    <cellStyle name="Moneda" xfId="3" builtinId="4"/>
    <cellStyle name="Moneda [0]" xfId="4" builtinId="7"/>
    <cellStyle name="Normal" xfId="0" builtinId="0"/>
    <cellStyle name="Porcentaje" xfId="2" builtinId="5"/>
  </cellStyles>
  <dxfs count="302">
    <dxf>
      <font>
        <strike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border diagonalUp="0" diagonalDown="0" outline="0">
        <left style="thin">
          <color theme="9" tint="-0.249977111117893"/>
        </left>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theme="1"/>
        <name val="Times New Roman"/>
        <scheme val="none"/>
      </font>
      <numFmt numFmtId="168" formatCode="_-&quot;$&quot;\ * #,##0.00_-;\-&quot;$&quot;\ * #,##0.00_-;_-&quot;$&quot;\ * &quot;-&quot;??_-;_-@_-"/>
      <alignment horizontal="left" vertical="top"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168" formatCode="_-&quot;$&quot;\ * #,##0.00_-;\-&quot;$&quot;\ * #,##0.00_-;_-&quot;$&quot;\ * &quot;-&quot;??_-;_-@_-"/>
      <alignment horizontal="left" vertical="top"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168" formatCode="_-&quot;$&quot;\ * #,##0.00_-;\-&quot;$&quot;\ * #,##0.00_-;_-&quot;$&quot;\ * &quot;-&quot;??_-;_-@_-"/>
      <alignment horizontal="left" vertical="top"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168" formatCode="_-&quot;$&quot;\ * #,##0.00_-;\-&quot;$&quot;\ * #,##0.00_-;_-&quot;$&quot;\ * &quot;-&quot;??_-;_-@_-"/>
      <alignment horizontal="left" vertical="top"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168" formatCode="_-&quot;$&quot;\ * #,##0.00_-;\-&quot;$&quot;\ * #,##0.00_-;_-&quot;$&quot;\ * &quot;-&quot;??_-;_-@_-"/>
      <alignment horizontal="left" vertical="top" textRotation="0" wrapText="0" indent="0" justifyLastLine="0" shrinkToFit="0" readingOrder="0"/>
    </dxf>
    <dxf>
      <font>
        <strike val="0"/>
        <outline val="0"/>
        <shadow val="0"/>
        <u val="none"/>
        <vertAlign val="baseline"/>
        <sz val="12"/>
        <name val="Times New Roman"/>
        <scheme val="none"/>
      </font>
      <alignment horizontal="left" vertical="top"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left" vertical="top" textRotation="0" wrapText="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indexed="64"/>
          <bgColor theme="9"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3" formatCode="0%"/>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indent="0" justifyLastLine="0" shrinkToFit="0" readingOrder="0"/>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bgColor theme="9" tint="0.79998168889431442"/>
        </patternFill>
      </fill>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bgColor theme="9" tint="0.79998168889431442"/>
        </patternFill>
      </fill>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bgColor theme="9" tint="0.79998168889431442"/>
        </patternFill>
      </fill>
      <alignment horizontal="left" vertical="top" textRotation="0" wrapText="0" indent="0" justifyLastLine="0" shrinkToFit="0" readingOrder="0"/>
      <border diagonalUp="0" diagonalDown="0" outline="0">
        <left style="thin">
          <color theme="9" tint="-0.249977111117893"/>
        </left>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0" formatCode="General"/>
      <fill>
        <patternFill patternType="solid">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bgColor theme="9" tint="0.79998168889431442"/>
        </patternFill>
      </fill>
      <alignment horizontal="left" vertical="top" textRotation="0" wrapText="0" indent="0" justifyLastLine="0" shrinkToFit="0" readingOrder="0"/>
      <border diagonalUp="0" diagonalDown="0" outline="0">
        <left/>
        <right style="thin">
          <color theme="9" tint="-0.249977111117893"/>
        </right>
        <top/>
        <bottom/>
      </border>
    </dxf>
    <dxf>
      <font>
        <strike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bgColor theme="9" tint="0.79998168889431442"/>
        </patternFill>
      </fill>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fill>
        <patternFill>
          <bgColor theme="0"/>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name val="Times New Roman"/>
        <scheme val="none"/>
      </font>
    </dxf>
    <dxf>
      <font>
        <strike val="0"/>
        <outline val="0"/>
        <shadow val="0"/>
        <u val="none"/>
        <vertAlign val="baseline"/>
        <sz val="12"/>
        <name val="Times New Roman"/>
        <scheme val="none"/>
      </font>
      <alignment horizontal="left" vertical="top" textRotation="0" wrapText="0" indent="0" justifyLastLine="0" shrinkToFit="0" readingOrder="0"/>
    </dxf>
    <dxf>
      <font>
        <strike val="0"/>
        <outline val="0"/>
        <shadow val="0"/>
        <u val="none"/>
        <vertAlign val="baseline"/>
        <sz val="12"/>
        <name val="Times New Roman"/>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right style="thin">
          <color theme="9" tint="-0.249977111117893"/>
        </right>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name val="Times New Roman"/>
        <scheme val="none"/>
      </font>
      <fill>
        <patternFill patternType="solid">
          <fgColor indexed="64"/>
          <bgColor theme="9" tint="0.79998168889431442"/>
        </patternFill>
      </fill>
    </dxf>
    <dxf>
      <font>
        <strike val="0"/>
        <outline val="0"/>
        <shadow val="0"/>
        <u val="none"/>
        <vertAlign val="baseline"/>
        <sz val="12"/>
        <name val="Times New Roman"/>
        <scheme val="none"/>
      </font>
      <alignment horizontal="left" vertical="top" textRotation="0" indent="0" justifyLastLine="0" shrinkToFit="0" readingOrder="0"/>
    </dxf>
    <dxf>
      <font>
        <strike val="0"/>
        <outline val="0"/>
        <shadow val="0"/>
        <u val="none"/>
        <vertAlign val="baseline"/>
        <sz val="12"/>
        <name val="Times New Roman"/>
        <scheme val="none"/>
      </font>
      <fill>
        <patternFill patternType="solid">
          <fgColor indexed="64"/>
          <bgColor theme="9" tint="0.79998168889431442"/>
        </patternFill>
      </fill>
      <alignment horizontal="left" vertical="top" textRotation="0" indent="0" justifyLastLine="0" shrinkToFit="0" readingOrder="0"/>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dxf>
    <dxf>
      <font>
        <strike val="0"/>
        <outline val="0"/>
        <shadow val="0"/>
        <u val="none"/>
        <vertAlign val="baseline"/>
        <sz val="12"/>
        <name val="Times New Roman"/>
        <scheme val="none"/>
      </font>
      <numFmt numFmtId="0" formatCode="General"/>
      <border diagonalUp="0" diagonalDown="0">
        <left style="thin">
          <color theme="9" tint="-0.249977111117893"/>
        </left>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2"/>
        <name val="Times New Roman"/>
        <scheme val="none"/>
      </font>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rgb="FF000000"/>
        <name val="Times New Roman"/>
        <scheme val="none"/>
      </font>
      <numFmt numFmtId="14" formatCode="0.00%"/>
      <fill>
        <patternFill patternType="solid">
          <fgColor indexed="64"/>
          <bgColor theme="0"/>
        </patternFill>
      </fill>
      <alignment horizontal="center" vertical="center"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rgb="FF000000"/>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rgb="FF000000"/>
        <name val="Times New Roman"/>
        <scheme val="none"/>
      </font>
      <numFmt numFmtId="165" formatCode="&quot;$&quot;\ #,##0.00;[Red]\-&quot;$&quot;\ #,##0.00"/>
      <fill>
        <patternFill patternType="solid">
          <fgColor indexed="64"/>
          <bgColor theme="0"/>
        </patternFill>
      </fill>
      <alignment horizontal="general" vertical="center"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rgb="FF000000"/>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top style="thin">
          <color theme="9" tint="-0.249977111117893"/>
        </top>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name val="Times New Roman"/>
        <scheme val="none"/>
      </font>
    </dxf>
    <dxf>
      <border>
        <bottom style="thin">
          <color theme="9" tint="-0.249977111117893"/>
        </bottom>
      </border>
    </dxf>
    <dxf>
      <font>
        <b val="0"/>
        <i val="0"/>
        <strike val="0"/>
        <condense val="0"/>
        <extend val="0"/>
        <outline val="0"/>
        <shadow val="0"/>
        <u val="none"/>
        <vertAlign val="baseline"/>
        <sz val="12"/>
        <color rgb="FF000000"/>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9" tint="-0.249977111117893"/>
        </left>
        <right style="thin">
          <color theme="9" tint="-0.249977111117893"/>
        </right>
        <top/>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right style="thin">
          <color theme="9" tint="-0.249977111117893"/>
        </right>
        <top style="thin">
          <color theme="9" tint="-0.249977111117893"/>
        </top>
        <bottom style="thin">
          <color theme="9" tint="-0.249977111117893"/>
        </bottom>
      </border>
    </dxf>
    <dxf>
      <border>
        <top style="thin">
          <color theme="9" tint="-0.249977111117893"/>
        </top>
      </border>
    </dxf>
    <dxf>
      <border diagonalUp="0" diagonalDown="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dxf>
    <dxf>
      <border>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67" formatCode="_-* #,##0_-;\-* #,##0_-;_-*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4" formatCode="0.00%"/>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border diagonalUp="0" diagonalDown="0">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2"/>
        <color theme="1"/>
        <name val="Times New Roman"/>
        <scheme val="none"/>
      </font>
      <border diagonalUp="0" diagonalDown="0">
        <left style="thin">
          <color theme="9" tint="-0.249977111117893"/>
        </left>
        <right style="thin">
          <color theme="9" tint="-0.249977111117893"/>
        </right>
        <top/>
        <bottom/>
        <vertical style="thin">
          <color theme="9" tint="-0.249977111117893"/>
        </vertical>
        <horizontal style="thin">
          <color theme="9" tint="-0.249977111117893"/>
        </horizontal>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2"/>
        <color theme="1"/>
        <name val="Times New Roman"/>
        <scheme val="none"/>
      </font>
      <alignment horizontal="left" vertical="top" textRotation="0" wrapText="0" indent="0" justifyLastLine="0" shrinkToFit="0" readingOrder="0"/>
      <border diagonalUp="0" diagonalDown="0">
        <left style="thin">
          <color theme="9" tint="-0.249977111117893"/>
        </left>
        <right style="thin">
          <color theme="9" tint="-0.249977111117893"/>
        </right>
        <top/>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4" formatCode="0.00%"/>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top style="thin">
          <color theme="9" tint="-0.249977111117893"/>
        </top>
      </border>
    </dxf>
    <dxf>
      <font>
        <strike val="0"/>
        <outline val="0"/>
        <shadow val="0"/>
        <u val="none"/>
        <vertAlign val="baseline"/>
        <sz val="12"/>
        <color theme="1"/>
        <name val="Times New Roman"/>
        <scheme val="none"/>
      </font>
      <border diagonalUp="0" diagonalDown="0">
        <left style="thin">
          <color theme="9" tint="-0.249977111117893"/>
        </left>
        <right style="thin">
          <color theme="9" tint="-0.249977111117893"/>
        </right>
        <top/>
        <bottom/>
        <vertical style="thin">
          <color theme="9" tint="-0.249977111117893"/>
        </vertical>
        <horizontal style="thin">
          <color theme="9" tint="-0.249977111117893"/>
        </horizontal>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70" formatCode="_-&quot;$&quot;\ * #,##0_-;\-&quot;$&quot;\ * #,##0_-;_-&quot;$&quot;\ *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70" formatCode="_-&quot;$&quot;\ * #,##0_-;\-&quot;$&quot;\ * #,##0_-;_-&quot;$&quot;\ * &quot;-&quot;??_-;_-@_-"/>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167" formatCode="_-* #,##0_-;\-* #,##0_-;_-* &quot;-&quot;_-;_-@_-"/>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67" formatCode="_-* #,##0_-;\-* #,##0_-;_-* &quot;-&quot;_-;_-@_-"/>
      <fill>
        <patternFill patternType="solid">
          <fgColor indexed="64"/>
          <bgColor theme="0"/>
        </patternFill>
      </fill>
      <alignment horizontal="left" vertical="top"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numFmt numFmtId="14" formatCode="0.00%"/>
      <fill>
        <patternFill patternType="solid">
          <fgColor indexed="64"/>
          <bgColor theme="0"/>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font>
        <strike val="0"/>
        <outline val="0"/>
        <shadow val="0"/>
        <u val="none"/>
        <vertAlign val="baseline"/>
        <sz val="12"/>
        <color auto="1"/>
        <name val="Times New Roman"/>
        <scheme val="none"/>
      </font>
      <fill>
        <patternFill patternType="solid">
          <fgColor indexed="64"/>
          <bgColor theme="9" tint="0.79998168889431442"/>
        </patternFill>
      </fill>
      <border diagonalUp="0" diagonalDown="0" outline="0">
        <left style="thin">
          <color theme="9" tint="-0.249977111117893"/>
        </left>
        <right style="thin">
          <color theme="9" tint="-0.249977111117893"/>
        </right>
        <top/>
        <bottom/>
      </border>
    </dxf>
    <dxf>
      <font>
        <strike val="0"/>
        <outline val="0"/>
        <shadow val="0"/>
        <u val="none"/>
        <vertAlign val="baseline"/>
        <sz val="12"/>
        <color theme="1"/>
        <name val="Times New Roman"/>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2"/>
        <color auto="1"/>
        <name val="Times New Roman"/>
        <scheme val="none"/>
      </font>
      <fill>
        <patternFill patternType="solid">
          <fgColor indexed="64"/>
          <bgColor theme="9" tint="0.79998168889431442"/>
        </patternFill>
      </fill>
      <alignment horizontal="left" vertical="top" textRotation="0" wrapText="0" indent="0" justifyLastLine="0" shrinkToFit="0" readingOrder="0"/>
      <border diagonalUp="0" diagonalDown="0" outline="0">
        <left style="thin">
          <color theme="9" tint="-0.249977111117893"/>
        </left>
        <right style="thin">
          <color theme="9" tint="-0.249977111117893"/>
        </right>
        <top/>
        <bottom/>
      </border>
    </dxf>
  </dxfs>
  <tableStyles count="1" defaultTableStyle="TableStyleMedium9" defaultPivotStyle="PivotStyleMedium9">
    <tableStyle name="Invisible" pivot="0" table="0" count="0"/>
  </tableStyles>
  <colors>
    <mruColors>
      <color rgb="FFDB545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257175</xdr:colOff>
      <xdr:row>6</xdr:row>
      <xdr:rowOff>0</xdr:rowOff>
    </xdr:from>
    <xdr:to>
      <xdr:col>7</xdr:col>
      <xdr:colOff>333375</xdr:colOff>
      <xdr:row>17</xdr:row>
      <xdr:rowOff>9525</xdr:rowOff>
    </xdr:to>
    <xdr:sp macro="" textlink="">
      <xdr:nvSpPr>
        <xdr:cNvPr id="2" name="CuadroTexto 1">
          <a:extLst>
            <a:ext uri="{FF2B5EF4-FFF2-40B4-BE49-F238E27FC236}">
              <a16:creationId xmlns="" xmlns:a16="http://schemas.microsoft.com/office/drawing/2014/main" id="{F9DAF65C-3FEF-4999-885B-3F3D65B80D40}"/>
            </a:ext>
          </a:extLst>
        </xdr:cNvPr>
        <xdr:cNvSpPr txBox="1"/>
      </xdr:nvSpPr>
      <xdr:spPr>
        <a:xfrm>
          <a:off x="3533775" y="1152525"/>
          <a:ext cx="3305175" cy="2114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200" b="0">
              <a:solidFill>
                <a:schemeClr val="dk1"/>
              </a:solidFill>
              <a:effectLst/>
              <a:latin typeface="Times New Roman" panose="02020603050405020304" pitchFamily="18" charset="0"/>
              <a:ea typeface="+mn-ea"/>
              <a:cs typeface="Times New Roman" panose="02020603050405020304" pitchFamily="18" charset="0"/>
            </a:rPr>
            <a:t>Se requiere una inversión de $ 79.000.000 por un 31% de la compañía. Con este rubro se pretende comprar máquinas de cardio como son los spinning y elípticas diferentes a las convencionales, ya que éstas son fabricadas con tecnología ECO.POWR de SPORTSART que generan energía eléctrica mientras los usuarios realizan sus ejercicios cardiovasculares, así se buscaría reducir los costos de energía y a la vez contribuir al cambio climático, siendo el primer gimnasio en Ibagué amigable con el planeta.</a:t>
          </a:r>
          <a:endParaRPr lang="es-CO" sz="1200" b="1">
            <a:solidFill>
              <a:schemeClr val="dk1"/>
            </a:solidFill>
            <a:effectLst/>
            <a:latin typeface="Times New Roman" panose="02020603050405020304" pitchFamily="18" charset="0"/>
            <a:ea typeface="+mn-ea"/>
            <a:cs typeface="Times New Roman" panose="02020603050405020304" pitchFamily="18" charset="0"/>
          </a:endParaRPr>
        </a:p>
        <a:p>
          <a:endParaRPr lang="es-CO" sz="1100"/>
        </a:p>
      </xdr:txBody>
    </xdr:sp>
    <xdr:clientData/>
  </xdr:twoCellAnchor>
</xdr:wsDr>
</file>

<file path=xl/tables/table1.xml><?xml version="1.0" encoding="utf-8"?>
<table xmlns="http://schemas.openxmlformats.org/spreadsheetml/2006/main" id="7" name="Tabla4MesCerveza" displayName="Tabla4MesCerveza" ref="B8:F21" totalsRowCount="1" headerRowDxfId="301" dataDxfId="300" totalsRowDxfId="299">
  <autoFilter ref="B8:F20"/>
  <tableColumns count="5">
    <tableColumn id="1" name="Mes" totalsRowLabel="Total" dataDxfId="298" totalsRowDxfId="297"/>
    <tableColumn id="2" name="Ocupación" dataDxfId="296" totalsRowDxfId="295" dataCellStyle="Porcentaje">
      <calculatedColumnFormula>Tabla4MesCerveza[[#This Row],[Unidades]]/$C$7</calculatedColumnFormula>
    </tableColumn>
    <tableColumn id="3" name="Unidades" totalsRowFunction="sum" dataDxfId="294" totalsRowDxfId="293" dataCellStyle="Millares [0]">
      <calculatedColumnFormula>($C$7*Tabla4MesCerveza[[#This Row],[Ocupación]])</calculatedColumnFormula>
    </tableColumn>
    <tableColumn id="8" name="Precio" dataDxfId="292" totalsRowDxfId="291" dataCellStyle="Moneda">
      <calculatedColumnFormula>$K$9</calculatedColumnFormula>
    </tableColumn>
    <tableColumn id="10" name="Total" totalsRowFunction="sum" dataDxfId="290" totalsRowDxfId="289" dataCellStyle="Moneda">
      <calculatedColumnFormula>Tabla4MesCerveza[[#This Row],[Unidades]]*Tabla4MesCerveza[[#This Row],[Precio]]</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15" name="Tabla12Computo" displayName="Tabla12Computo" ref="B51:F55" totalsRowCount="1" headerRowDxfId="175" dataDxfId="174" totalsRowDxfId="173">
  <autoFilter ref="B51:F54"/>
  <tableColumns count="5">
    <tableColumn id="1" name="Nombre" totalsRowLabel="Total" dataDxfId="172" totalsRowDxfId="171"/>
    <tableColumn id="2" name="Descripción" dataDxfId="170" totalsRowDxfId="169"/>
    <tableColumn id="3" name="Cantidad" dataDxfId="168" totalsRowDxfId="167" dataCellStyle="Millares [0]"/>
    <tableColumn id="4" name="Costo" totalsRowFunction="custom" dataDxfId="166" totalsRowDxfId="165" dataCellStyle="Moneda">
      <totalsRowFormula>SUM(E52:E54)</totalsRowFormula>
    </tableColumn>
    <tableColumn id="5" name="Subtotal" totalsRowFunction="custom" dataDxfId="164" totalsRowDxfId="163" dataCellStyle="Moneda">
      <calculatedColumnFormula>Tabla12Computo[[#This Row],[Costo]]*Tabla12Computo[[#This Row],[Cantidad]]</calculatedColumnFormula>
      <totalsRowFormula>SUM(F52:F54)</totalsRowFormula>
    </tableColumn>
  </tableColumns>
  <tableStyleInfo name="TableStyleMedium9" showFirstColumn="0" showLastColumn="0" showRowStripes="1" showColumnStripes="0"/>
</table>
</file>

<file path=xl/tables/table11.xml><?xml version="1.0" encoding="utf-8"?>
<table xmlns="http://schemas.openxmlformats.org/spreadsheetml/2006/main" id="16" name="Tabla13GastosAdm" displayName="Tabla13GastosAdm" ref="B6:I9" totalsRowCount="1" headerRowDxfId="162" dataDxfId="160" totalsRowDxfId="158" headerRowBorderDxfId="161" tableBorderDxfId="159" totalsRowBorderDxfId="157">
  <autoFilter ref="B6:I8"/>
  <tableColumns count="8">
    <tableColumn id="1" name="Descripción" totalsRowLabel="Total" dataDxfId="156" totalsRowDxfId="155"/>
    <tableColumn id="2" name="Costo (Mes)" dataDxfId="154" totalsRowDxfId="153" dataCellStyle="Moneda"/>
    <tableColumn id="3" name="Año 1" totalsRowFunction="custom" dataDxfId="152" totalsRowDxfId="151" dataCellStyle="Moneda">
      <calculatedColumnFormula>(Tabla13GastosAdm[[#This Row],[Año 0]]*$M$7)+Tabla13GastosAdm[[#This Row],[Año 0]]</calculatedColumnFormula>
      <totalsRowFormula>SUM(D7:D8)</totalsRowFormula>
    </tableColumn>
    <tableColumn id="4" name="Año 2" totalsRowFunction="custom" dataDxfId="150" totalsRowDxfId="149" dataCellStyle="Moneda">
      <calculatedColumnFormula>(Tabla13GastosAdm[[#This Row],[Año 1]]*$M$8)+Tabla13GastosAdm[[#This Row],[Año 1]]</calculatedColumnFormula>
      <totalsRowFormula>SUM(E7:E8)</totalsRowFormula>
    </tableColumn>
    <tableColumn id="5" name="Año 3" totalsRowFunction="custom" dataDxfId="148" totalsRowDxfId="147" dataCellStyle="Moneda">
      <calculatedColumnFormula>(Tabla13GastosAdm[[#This Row],[Año 2]]*$M$9)+Tabla13GastosAdm[[#This Row],[Año 2]]</calculatedColumnFormula>
      <totalsRowFormula>SUM(F7:F8)</totalsRowFormula>
    </tableColumn>
    <tableColumn id="6" name="Año 4" totalsRowFunction="custom" dataDxfId="146" totalsRowDxfId="145" dataCellStyle="Moneda">
      <calculatedColumnFormula>(Tabla13GastosAdm[[#This Row],[Año 3]]*$M$10)+Tabla13GastosAdm[[#This Row],[Año 3]]</calculatedColumnFormula>
      <totalsRowFormula>SUM(G7:G8)</totalsRowFormula>
    </tableColumn>
    <tableColumn id="7" name="Año 5" totalsRowFunction="custom" dataDxfId="144" totalsRowDxfId="143" dataCellStyle="Moneda">
      <calculatedColumnFormula>(Tabla13GastosAdm[[#This Row],[Año 4]]*$M$11)+Tabla13GastosAdm[[#This Row],[Año 4]]</calculatedColumnFormula>
      <totalsRowFormula>SUM(H7:H8)</totalsRowFormula>
    </tableColumn>
    <tableColumn id="8" name="Año 0" totalsRowFunction="custom" dataDxfId="142" totalsRowDxfId="141" dataCellStyle="Moneda">
      <calculatedColumnFormula>Tabla13GastosAdm[[#This Row],[Costo (Mes)]]*12</calculatedColumnFormula>
      <totalsRowFormula>SUM(I7:I8)</totalsRowFormula>
    </tableColumn>
  </tableColumns>
  <tableStyleInfo name="TableStyleMedium9" showFirstColumn="0" showLastColumn="0" showRowStripes="1" showColumnStripes="0"/>
</table>
</file>

<file path=xl/tables/table12.xml><?xml version="1.0" encoding="utf-8"?>
<table xmlns="http://schemas.openxmlformats.org/spreadsheetml/2006/main" id="17" name="Tabla14GastosVentas" displayName="Tabla14GastosVentas" ref="B12:I14" totalsRowCount="1" headerRowDxfId="140" dataDxfId="138" totalsRowDxfId="136" headerRowBorderDxfId="139" tableBorderDxfId="137" totalsRowBorderDxfId="135">
  <autoFilter ref="B12:I13"/>
  <tableColumns count="8">
    <tableColumn id="1" name="Descripción" totalsRowLabel="Total" dataDxfId="134" totalsRowDxfId="133"/>
    <tableColumn id="2" name="Costo (Mes)" totalsRowFunction="custom" dataDxfId="132" totalsRowDxfId="131" dataCellStyle="Moneda">
      <totalsRowFormula>Tabla14GastosVentas[Costo (Mes)]</totalsRowFormula>
    </tableColumn>
    <tableColumn id="3" name="Año 1" totalsRowFunction="custom" dataDxfId="130" totalsRowDxfId="129" dataCellStyle="Moneda">
      <calculatedColumnFormula>(Tabla14GastosVentas[Año 0]*M7)+Tabla14GastosVentas[Año 0]</calculatedColumnFormula>
      <totalsRowFormula>Tabla14GastosVentas[Año 1]</totalsRowFormula>
    </tableColumn>
    <tableColumn id="4" name="Año 2" totalsRowFunction="custom" dataDxfId="128" totalsRowDxfId="127" dataCellStyle="Moneda">
      <calculatedColumnFormula>(Tabla14GastosVentas[Año 1]*M8)+Tabla14GastosVentas[Año 1]</calculatedColumnFormula>
      <totalsRowFormula>Tabla14GastosVentas[Año 2]</totalsRowFormula>
    </tableColumn>
    <tableColumn id="5" name="Año 3" totalsRowFunction="custom" dataDxfId="126" totalsRowDxfId="125" dataCellStyle="Moneda">
      <calculatedColumnFormula>(Tabla14GastosVentas[Año 2]*M9)+Tabla14GastosVentas[Año 2]</calculatedColumnFormula>
      <totalsRowFormula>Tabla14GastosVentas[Año 3]</totalsRowFormula>
    </tableColumn>
    <tableColumn id="6" name="Año 4" totalsRowFunction="custom" dataDxfId="124" totalsRowDxfId="123" dataCellStyle="Moneda">
      <calculatedColumnFormula>(Tabla14GastosVentas[Año 3]*M10)+Tabla14GastosVentas[Año 3]</calculatedColumnFormula>
      <totalsRowFormula>Tabla14GastosVentas[Año 4]</totalsRowFormula>
    </tableColumn>
    <tableColumn id="7" name="Año 5" totalsRowFunction="custom" dataDxfId="122" totalsRowDxfId="121" dataCellStyle="Moneda">
      <calculatedColumnFormula>(Tabla14GastosVentas[Año 4]*M11)+Tabla14GastosVentas[Año 4]</calculatedColumnFormula>
      <totalsRowFormula>Tabla14GastosVentas[Año 5]</totalsRowFormula>
    </tableColumn>
    <tableColumn id="8" name="Año 0" totalsRowFunction="custom" dataDxfId="120" totalsRowDxfId="119" dataCellStyle="Moneda">
      <calculatedColumnFormula>Tabla14GastosVentas[Costo (Mes)]*12</calculatedColumnFormula>
      <totalsRowFormula>Tabla14GastosVentas[Año 0]</totalsRowFormula>
    </tableColumn>
  </tableColumns>
  <tableStyleInfo name="TableStyleMedium9" showFirstColumn="0" showLastColumn="0" showRowStripes="1" showColumnStripes="0"/>
</table>
</file>

<file path=xl/tables/table13.xml><?xml version="1.0" encoding="utf-8"?>
<table xmlns="http://schemas.openxmlformats.org/spreadsheetml/2006/main" id="18" name="Tabla15GastosOpera" displayName="Tabla15GastosOpera" ref="B17:I24" totalsRowCount="1" headerRowDxfId="118" dataDxfId="116" totalsRowDxfId="114" headerRowBorderDxfId="117" tableBorderDxfId="115" totalsRowBorderDxfId="113">
  <autoFilter ref="B17:I23"/>
  <tableColumns count="8">
    <tableColumn id="1" name="Descripción" totalsRowLabel="Total" dataDxfId="112" totalsRowDxfId="111"/>
    <tableColumn id="2" name="Costo (Mes)" totalsRowFunction="custom" dataDxfId="110" totalsRowDxfId="109" dataCellStyle="Moneda">
      <totalsRowFormula>SUM(C18:C23)</totalsRowFormula>
    </tableColumn>
    <tableColumn id="3" name="Año 1" totalsRowFunction="custom" dataDxfId="108" totalsRowDxfId="107" dataCellStyle="Moneda">
      <calculatedColumnFormula>(Tabla15GastosOpera[[#This Row],[Año 0]]*$M$7)+Tabla15GastosOpera[[#This Row],[Año 0]]</calculatedColumnFormula>
      <totalsRowFormula>SUM(D18:D23)</totalsRowFormula>
    </tableColumn>
    <tableColumn id="4" name="Año 2" totalsRowFunction="custom" dataDxfId="106" totalsRowDxfId="105" dataCellStyle="Moneda">
      <calculatedColumnFormula>(Tabla15GastosOpera[[#This Row],[Año 1]]*$M$8)+Tabla15GastosOpera[[#This Row],[Año 1]]</calculatedColumnFormula>
      <totalsRowFormula>SUM(E18:E23)</totalsRowFormula>
    </tableColumn>
    <tableColumn id="5" name="Año 3" totalsRowFunction="custom" dataDxfId="104" totalsRowDxfId="103" dataCellStyle="Moneda">
      <calculatedColumnFormula>(Tabla15GastosOpera[[#This Row],[Año 2]]*$M$9)+Tabla15GastosOpera[[#This Row],[Año 2]]</calculatedColumnFormula>
      <totalsRowFormula>SUM(F18:F23)</totalsRowFormula>
    </tableColumn>
    <tableColumn id="6" name="Año 4" totalsRowFunction="custom" dataDxfId="102" totalsRowDxfId="101" dataCellStyle="Moneda">
      <calculatedColumnFormula>(Tabla15GastosOpera[[#This Row],[Año 3]]*$M$10)+Tabla15GastosOpera[[#This Row],[Año 3]]</calculatedColumnFormula>
      <totalsRowFormula>SUM(G18:G23)</totalsRowFormula>
    </tableColumn>
    <tableColumn id="7" name="Año 5" totalsRowFunction="custom" dataDxfId="100" totalsRowDxfId="99" dataCellStyle="Moneda">
      <calculatedColumnFormula>(Tabla15GastosOpera[[#This Row],[Año 4]]*$M$11)+Tabla15GastosOpera[[#This Row],[Año 4]]</calculatedColumnFormula>
      <totalsRowFormula>SUM(H18:H23)</totalsRowFormula>
    </tableColumn>
    <tableColumn id="8" name="Año 0" totalsRowFunction="custom" dataDxfId="98" totalsRowDxfId="97" dataCellStyle="Moneda">
      <calculatedColumnFormula>Tabla15GastosOpera[[#This Row],[Costo (Mes)]]*12</calculatedColumnFormula>
      <totalsRowFormula>SUM(I18:I23)</totalsRowFormula>
    </tableColumn>
  </tableColumns>
  <tableStyleInfo name="TableStyleMedium9" showFirstColumn="0" showLastColumn="0" showRowStripes="1" showColumnStripes="0"/>
</table>
</file>

<file path=xl/tables/table14.xml><?xml version="1.0" encoding="utf-8"?>
<table xmlns="http://schemas.openxmlformats.org/spreadsheetml/2006/main" id="22" name="Tabla19OtrosInsumos" displayName="Tabla19OtrosInsumos" ref="B34:G38" totalsRowCount="1" headerRowDxfId="96" dataDxfId="95" totalsRowDxfId="94" headerRowCellStyle="Millares [0]" dataCellStyle="Millares [0]">
  <autoFilter ref="B34:G37"/>
  <tableColumns count="6">
    <tableColumn id="1" name="Descripción" totalsRowLabel="Total" dataDxfId="93" totalsRowDxfId="92"/>
    <tableColumn id="2" name="Tiempo" dataDxfId="91" totalsRowDxfId="90"/>
    <tableColumn id="3" name="Cantidad" dataDxfId="89" totalsRowDxfId="88" dataCellStyle="Millares [0]"/>
    <tableColumn id="4" name="Unidad de_x000a_medida" dataDxfId="87" totalsRowDxfId="86"/>
    <tableColumn id="5" name="Precio" dataDxfId="85" totalsRowDxfId="84" dataCellStyle="Moneda"/>
    <tableColumn id="6" name="Total" totalsRowFunction="custom" dataDxfId="83" totalsRowDxfId="82" dataCellStyle="Moneda">
      <calculatedColumnFormula>Tabla19OtrosInsumos[[#This Row],[Precio]]*Tabla19OtrosInsumos[[#This Row],[Cantidad]]</calculatedColumnFormula>
      <totalsRowFormula>SUM(G35:G37)</totalsRowFormula>
    </tableColumn>
  </tableColumns>
  <tableStyleInfo name="TableStyleMedium9" showFirstColumn="0" showLastColumn="0" showRowStripes="1" showColumnStripes="0"/>
</table>
</file>

<file path=xl/tables/table15.xml><?xml version="1.0" encoding="utf-8"?>
<table xmlns="http://schemas.openxmlformats.org/spreadsheetml/2006/main" id="21" name="Tabla18Aseo" displayName="Tabla18Aseo" ref="B19:G29" totalsRowCount="1" headerRowDxfId="81" dataDxfId="80" totalsRowDxfId="79" headerRowCellStyle="Millares [0]" dataCellStyle="Millares [0]">
  <autoFilter ref="B19:G28"/>
  <tableColumns count="6">
    <tableColumn id="1" name="Descripción" totalsRowLabel="Total" dataDxfId="78" totalsRowDxfId="77"/>
    <tableColumn id="2" name="Tiempo" dataDxfId="76" totalsRowDxfId="75"/>
    <tableColumn id="3" name="Cantidad" dataDxfId="74" totalsRowDxfId="73" dataCellStyle="Millares [0]"/>
    <tableColumn id="4" name="Unidad de_x000a_medida" dataDxfId="72" totalsRowDxfId="71"/>
    <tableColumn id="5" name="Precio" dataDxfId="70" totalsRowDxfId="69" dataCellStyle="Moneda"/>
    <tableColumn id="6" name="Total" totalsRowFunction="custom" dataDxfId="68" totalsRowDxfId="67" dataCellStyle="Moneda">
      <calculatedColumnFormula>Tabla18Aseo[[#This Row],[Precio]]*Tabla18Aseo[[#This Row],[Cantidad]]</calculatedColumnFormula>
      <totalsRowFormula>SUM(G20:G28)</totalsRowFormula>
    </tableColumn>
  </tableColumns>
  <tableStyleInfo name="TableStyleMedium9" showFirstColumn="0" showLastColumn="0" showRowStripes="1" showColumnStripes="0"/>
</table>
</file>

<file path=xl/tables/table16.xml><?xml version="1.0" encoding="utf-8"?>
<table xmlns="http://schemas.openxmlformats.org/spreadsheetml/2006/main" id="20" name="Tabla17Papeleria" displayName="Tabla17Papeleria" ref="B6:G14" totalsRowCount="1" headerRowDxfId="66" dataDxfId="65" totalsRowDxfId="64" headerRowCellStyle="Millares [0]" dataCellStyle="Millares [0]">
  <autoFilter ref="B6:G13"/>
  <tableColumns count="6">
    <tableColumn id="1" name="Descripción" totalsRowLabel="Total" dataDxfId="63" totalsRowDxfId="62"/>
    <tableColumn id="2" name="Tiempo" dataDxfId="61" totalsRowDxfId="60"/>
    <tableColumn id="3" name="Cantidad" dataDxfId="59" totalsRowDxfId="58" dataCellStyle="Millares [0]"/>
    <tableColumn id="4" name="Unidad de_x000a_medida" dataDxfId="57" totalsRowDxfId="56"/>
    <tableColumn id="5" name="Precio" dataDxfId="55" totalsRowDxfId="54" dataCellStyle="Moneda"/>
    <tableColumn id="6" name="Total" totalsRowFunction="custom" dataDxfId="53" totalsRowDxfId="52" dataCellStyle="Moneda">
      <calculatedColumnFormula>Tabla17Papeleria[[#This Row],[Precio]]*Tabla17Papeleria[[#This Row],[Cantidad]]</calculatedColumnFormula>
      <totalsRowFormula>SUM(G7:G13)</totalsRowFormula>
    </tableColumn>
  </tableColumns>
  <tableStyleInfo name="TableStyleMedium9" showFirstColumn="0" showLastColumn="0" showRowStripes="1" showColumnStripes="0"/>
</table>
</file>

<file path=xl/tables/table17.xml><?xml version="1.0" encoding="utf-8"?>
<table xmlns="http://schemas.openxmlformats.org/spreadsheetml/2006/main" id="23" name="Tabla20Depre" displayName="Tabla20Depre" ref="B5:F9" totalsRowCount="1" headerRowDxfId="51" dataDxfId="49" totalsRowDxfId="47" headerRowBorderDxfId="50" tableBorderDxfId="48" totalsRowBorderDxfId="46">
  <autoFilter ref="B5:F8"/>
  <tableColumns count="5">
    <tableColumn id="1" name="Concepto" totalsRowLabel="Total" dataDxfId="45" totalsRowDxfId="44"/>
    <tableColumn id="2" name="Monto" dataDxfId="43" totalsRowDxfId="42" dataCellStyle="Moneda"/>
    <tableColumn id="3" name="Vida útil_x000a_(Años)" dataDxfId="41" totalsRowDxfId="40" dataCellStyle="Millares [0]"/>
    <tableColumn id="4" name="Depreciación_x000a_(%)" dataDxfId="39" totalsRowDxfId="38" dataCellStyle="Porcentaje">
      <calculatedColumnFormula>1/Tabla20Depre[[#This Row],[Vida útil
(Años)]]</calculatedColumnFormula>
    </tableColumn>
    <tableColumn id="5" name="Depreciación_x000a_(Anual)" totalsRowFunction="sum" dataDxfId="37" totalsRowDxfId="36" dataCellStyle="Moneda">
      <calculatedColumnFormula>Tabla20Depre[[#This Row],[Monto]]*Tabla20Depre[[#This Row],[Depreciación
(%)]]</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id="24" name="Tabla21Capital" displayName="Tabla21Capital" ref="B7:E16" totalsRowCount="1" headerRowDxfId="35" dataDxfId="33" totalsRowDxfId="31" headerRowBorderDxfId="34" tableBorderDxfId="32" totalsRowBorderDxfId="30">
  <autoFilter ref="B7:E15"/>
  <tableColumns count="4">
    <tableColumn id="1" name="Concepto" totalsRowLabel="Total" dataDxfId="29" totalsRowDxfId="28"/>
    <tableColumn id="2" name="Aporte del emprendedor" dataDxfId="27" totalsRowDxfId="26" dataCellStyle="Moneda">
      <calculatedColumnFormula>I11</calculatedColumnFormula>
    </tableColumn>
    <tableColumn id="3" name="Otras fuentes" dataDxfId="25" totalsRowDxfId="24" dataCellStyle="Moneda">
      <calculatedColumnFormula>I11</calculatedColumnFormula>
    </tableColumn>
    <tableColumn id="4" name="Total" totalsRowFunction="custom" dataDxfId="23" totalsRowDxfId="22" dataCellStyle="Moneda">
      <calculatedColumnFormula>Tabla21Capital[[#This Row],[Aporte del emprendedor]]+Tabla21Capital[[#This Row],[Otras fuentes]]</calculatedColumnFormula>
      <totalsRowFormula>E9+E10</totalsRowFormula>
    </tableColumn>
  </tableColumns>
  <tableStyleInfo name="TableStyleMedium9" showFirstColumn="0" showLastColumn="0" showRowStripes="1" showColumnStripes="0"/>
</table>
</file>

<file path=xl/tables/table19.xml><?xml version="1.0" encoding="utf-8"?>
<table xmlns="http://schemas.openxmlformats.org/spreadsheetml/2006/main" id="28" name="Tabla25Amortizacion" displayName="Tabla25Amortizacion" ref="B10:G70" totalsRowShown="0" headerRowDxfId="21" dataDxfId="20" headerRowCellStyle="Millares [0]" dataCellStyle="Millares [0]">
  <autoFilter ref="B10:G70"/>
  <tableColumns count="6">
    <tableColumn id="1" name="Meses" dataDxfId="19"/>
    <tableColumn id="2" name="Saldo" dataDxfId="18" dataCellStyle="Moneda">
      <calculatedColumnFormula>C5</calculatedColumnFormula>
    </tableColumn>
    <tableColumn id="3" name="Abono a capital" dataDxfId="17" dataCellStyle="Moneda">
      <calculatedColumnFormula>Tabla25Amortizacion[[#This Row],[Saldo]]/$C$7</calculatedColumnFormula>
    </tableColumn>
    <tableColumn id="4" name="Interés" dataDxfId="16" dataCellStyle="Moneda">
      <calculatedColumnFormula>Tabla25Amortizacion[[#This Row],[Saldo]]*$C$6</calculatedColumnFormula>
    </tableColumn>
    <tableColumn id="5" name="Seguro" dataDxfId="15" dataCellStyle="Moneda">
      <calculatedColumnFormula>$C$8</calculatedColumnFormula>
    </tableColumn>
    <tableColumn id="6" name="Valor de cuota" dataDxfId="14" dataCellStyle="Moneda">
      <calculatedColumnFormula>Tabla25Amortizacion[[#This Row],[Abono a capital]]+Tabla25Amortizacion[[#This Row],[Interés]]+Tabla25Amortizacion[[#This Row],[Seguro]]</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a4MesCerveza3" displayName="Tabla4MesCerveza3" ref="B25:F38" totalsRowCount="1" headerRowDxfId="288" dataDxfId="287" totalsRowDxfId="286" totalsRowBorderDxfId="285">
  <autoFilter ref="B25:F37"/>
  <tableColumns count="5">
    <tableColumn id="1" name="Mes" totalsRowLabel="Total" dataDxfId="284" totalsRowDxfId="283"/>
    <tableColumn id="2" name="Ocupación" dataDxfId="282" totalsRowDxfId="281" dataCellStyle="Porcentaje"/>
    <tableColumn id="3" name="Unidades" totalsRowFunction="sum" dataDxfId="280" totalsRowDxfId="279" dataCellStyle="Millares [0]">
      <calculatedColumnFormula>($C$24*Tabla4MesCerveza3[[#This Row],[Ocupación]])</calculatedColumnFormula>
    </tableColumn>
    <tableColumn id="8" name="Precio" dataDxfId="278" totalsRowDxfId="277" dataCellStyle="Moneda">
      <calculatedColumnFormula>$K$9</calculatedColumnFormula>
    </tableColumn>
    <tableColumn id="10" name="Total" totalsRowFunction="sum" dataDxfId="276" totalsRowDxfId="275" dataCellStyle="Moneda">
      <calculatedColumnFormula>Tabla4MesCerveza3[[#This Row],[Unidades]]*Tabla4MesCerveza3[[#This Row],[Precio]]</calculatedColumnFormula>
    </tableColumn>
  </tableColumns>
  <tableStyleInfo name="TableStyleMedium9" showFirstColumn="0" showLastColumn="0" showRowStripes="1" showColumnStripes="0"/>
</table>
</file>

<file path=xl/tables/table20.xml><?xml version="1.0" encoding="utf-8"?>
<table xmlns="http://schemas.openxmlformats.org/spreadsheetml/2006/main" id="1" name="Tabla26Propuesta" displayName="Tabla26Propuesta" ref="E20:H23" totalsRowCount="1" headerRowDxfId="13" dataDxfId="11" totalsRowDxfId="9" headerRowBorderDxfId="12" tableBorderDxfId="10" totalsRowBorderDxfId="8">
  <autoFilter ref="E20:H22"/>
  <tableColumns count="4">
    <tableColumn id="1" name="Presupuesto" totalsRowLabel="Total" dataDxfId="7" totalsRowDxfId="6"/>
    <tableColumn id="2" name="UNIDADES" totalsRowFunction="sum" dataDxfId="5" totalsRowDxfId="4" dataCellStyle="Millares [0]"/>
    <tableColumn id="3" name="VALOR UNITARO" dataDxfId="3" totalsRowDxfId="2" dataCellStyle="Moneda"/>
    <tableColumn id="4" name="VALOR TOTAL" totalsRowFunction="custom" dataDxfId="1" totalsRowDxfId="0" dataCellStyle="Moneda">
      <calculatedColumnFormula>Tabla26Propuesta[[#This Row],[UNIDADES]]*Tabla26Propuesta[[#This Row],[VALOR UNITARO]]</calculatedColumnFormula>
      <totalsRowFormula>SUM(H21:H22)</totalsRowFormula>
    </tableColumn>
  </tableColumns>
  <tableStyleInfo name="TableStyleMedium9" showFirstColumn="0" showLastColumn="0" showRowStripes="1" showColumnStripes="0"/>
</table>
</file>

<file path=xl/tables/table3.xml><?xml version="1.0" encoding="utf-8"?>
<table xmlns="http://schemas.openxmlformats.org/spreadsheetml/2006/main" id="5" name="Tabla4MesCerveza36" displayName="Tabla4MesCerveza36" ref="B42:F55" totalsRowCount="1" headerRowDxfId="274" dataDxfId="273" totalsRowDxfId="272">
  <autoFilter ref="B42:F54"/>
  <tableColumns count="5">
    <tableColumn id="1" name="Mes" totalsRowLabel="Total" dataDxfId="271" totalsRowDxfId="270"/>
    <tableColumn id="2" name="Ocupación" dataDxfId="269" totalsRowDxfId="268" dataCellStyle="Porcentaje"/>
    <tableColumn id="3" name="Unidades" totalsRowFunction="sum" dataDxfId="267" totalsRowDxfId="266" dataCellStyle="Millares [0]">
      <calculatedColumnFormula>($C$41*Tabla4MesCerveza36[[#This Row],[Ocupación]])</calculatedColumnFormula>
    </tableColumn>
    <tableColumn id="8" name="Precio" dataDxfId="265" totalsRowDxfId="264" dataCellStyle="Moneda">
      <calculatedColumnFormula>$K$9</calculatedColumnFormula>
    </tableColumn>
    <tableColumn id="10" name="Total" totalsRowFunction="sum" dataDxfId="263" totalsRowDxfId="262" dataCellStyle="Moneda">
      <calculatedColumnFormula>Tabla4MesCerveza36[[#This Row],[Unidades]]*Tabla4MesCerveza36[[#This Row],[Precio]]</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10" name="Tabla7VentasAnual" displayName="Tabla7VentasAnual" ref="B5:G6" totalsRowShown="0" headerRowDxfId="261" dataDxfId="259" headerRowBorderDxfId="260" tableBorderDxfId="258" totalsRowBorderDxfId="257" dataCellStyle="Millares [0]">
  <autoFilter ref="B5:G6"/>
  <tableColumns count="6">
    <tableColumn id="1" name="Años" dataDxfId="256"/>
    <tableColumn id="2" name="Año 1" dataDxfId="255" dataCellStyle="Moneda">
      <calculatedColumnFormula>VentasMes!F58</calculatedColumnFormula>
    </tableColumn>
    <tableColumn id="3" name="Año 2" dataDxfId="254" dataCellStyle="Moneda">
      <calculatedColumnFormula>(Tabla7VentasAnual[Año 1]*G13)+Tabla7VentasAnual[Año 1]</calculatedColumnFormula>
    </tableColumn>
    <tableColumn id="4" name="Año 3" dataDxfId="253" dataCellStyle="Moneda">
      <calculatedColumnFormula>(Tabla7VentasAnual[Año 2]*G14)+Tabla7VentasAnual[Año 2]</calculatedColumnFormula>
    </tableColumn>
    <tableColumn id="5" name="Año 4" dataDxfId="252" dataCellStyle="Moneda">
      <calculatedColumnFormula>(Tabla7VentasAnual[Año 3]*G15)+Tabla7VentasAnual[Año 3]</calculatedColumnFormula>
    </tableColumn>
    <tableColumn id="6" name="Año 5" dataDxfId="251" dataCellStyle="Moneda">
      <calculatedColumnFormula>(Tabla7VentasAnual[Año 4]*G16)+Tabla7VentasAnual[Año 4]</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3" name="Tabla3" displayName="Tabla3" ref="B10:G16" totalsRowShown="0" headerRowDxfId="250" dataDxfId="248" headerRowBorderDxfId="249" tableBorderDxfId="247" totalsRowBorderDxfId="246">
  <autoFilter ref="B10:G16"/>
  <tableColumns count="6">
    <tableColumn id="1" name="VENTAS " dataDxfId="245"/>
    <tableColumn id="2" name="$" dataDxfId="244">
      <calculatedColumnFormula>Tabla7VentasAnual[Año 1]</calculatedColumnFormula>
    </tableColumn>
    <tableColumn id="3" name="IPC" dataDxfId="243"/>
    <tableColumn id="4" name="%" dataDxfId="242" dataCellStyle="Porcentaje"/>
    <tableColumn id="5" name="Politica de Ventas" dataDxfId="241"/>
    <tableColumn id="6" name="Total % Crecimiento" dataDxfId="240">
      <calculatedColumnFormula>Tabla3[[#This Row],[%]]+Tabla3[[#This Row],[Politica de Ventas]]</calculatedColumnFormula>
    </tableColumn>
  </tableColumns>
  <tableStyleInfo name="TableStyleLight13" showFirstColumn="0" showLastColumn="0" showRowStripes="1" showColumnStripes="0"/>
</table>
</file>

<file path=xl/tables/table6.xml><?xml version="1.0" encoding="utf-8"?>
<table xmlns="http://schemas.openxmlformats.org/spreadsheetml/2006/main" id="11" name="Tabla8Nomina" displayName="Tabla8Nomina" ref="B5:J10" totalsRowShown="0" headerRowDxfId="239" dataDxfId="238">
  <autoFilter ref="B5:J10"/>
  <tableColumns count="9">
    <tableColumn id="1" name="Cargo" dataDxfId="237"/>
    <tableColumn id="2" name="Valor_x000a_Sueldo" dataDxfId="236" dataCellStyle="Moneda"/>
    <tableColumn id="3" name="Auxilio de_x000a_transporte" dataDxfId="235" dataCellStyle="Moneda"/>
    <tableColumn id="4" name="Total_x000a_devengado" dataDxfId="234" dataCellStyle="Moneda">
      <calculatedColumnFormula>Tabla8Nomina[[#This Row],[Valor
Sueldo]]+Tabla8Nomina[[#This Row],[Auxilio de
transporte]]</calculatedColumnFormula>
    </tableColumn>
    <tableColumn id="5" name="Deducciones_x000a_(Salud-Pensión)" dataDxfId="233" dataCellStyle="Moneda">
      <calculatedColumnFormula>(Tabla8Nomina[[#This Row],[Valor
Sueldo]]*4%)*2</calculatedColumnFormula>
    </tableColumn>
    <tableColumn id="6" name="Total_x000a_Nómina" dataDxfId="232" dataCellStyle="Moneda">
      <calculatedColumnFormula>Tabla8Nomina[[#This Row],[Total
devengado]]-Tabla8Nomina[[#This Row],[Deducciones
(Salud-Pensión)]]</calculatedColumnFormula>
    </tableColumn>
    <tableColumn id="7" name="Componente_x000a_Prestacional" dataDxfId="231" dataCellStyle="Moneda">
      <calculatedColumnFormula>SUM(Tabla9[[#This Row],[ICBF]:[Int. Cesantías]])</calculatedColumnFormula>
    </tableColumn>
    <tableColumn id="8" name="Componente seg. social (Pensión)_x000a_y parafiscales (ARL y CCF)" dataDxfId="230" dataCellStyle="Moneda">
      <calculatedColumnFormula>Tabla9[[#This Row],[Salud]]+Tabla9[[#This Row],[Pensión]]+Tabla9[[#This Row],[CCF]]+Tabla9[[#This Row],[ARL]]</calculatedColumnFormula>
    </tableColumn>
    <tableColumn id="9" name="Subtotal" dataDxfId="229" dataCellStyle="Moneda">
      <calculatedColumnFormula>Tabla8Nomina[[#This Row],[Total
Nómina]]+Tabla8Nomina[[#This Row],[Componente
Prestacional]]+Tabla8Nomina[[#This Row],[Componente seg. social (Pensión)
y parafiscales (ARL y CCF)]]</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2" name="Tabla9" displayName="Tabla9" ref="L4:T11" totalsRowCount="1" headerRowDxfId="228" dataDxfId="226" totalsRowDxfId="224" headerRowBorderDxfId="227" tableBorderDxfId="225" totalsRowBorderDxfId="223">
  <autoFilter ref="L4:T10"/>
  <tableColumns count="9">
    <tableColumn id="1" name="ICBF" totalsRowLabel="Total" dataDxfId="222" totalsRowDxfId="221"/>
    <tableColumn id="2" name="SENA" dataDxfId="220" totalsRowDxfId="219"/>
    <tableColumn id="3" name="Salud" dataDxfId="218" totalsRowDxfId="217"/>
    <tableColumn id="4" name="Pensión" dataDxfId="216" totalsRowDxfId="215"/>
    <tableColumn id="5" name="Cesantías" dataDxfId="214" totalsRowDxfId="213"/>
    <tableColumn id="6" name="Int. Cesantías" dataDxfId="212" totalsRowDxfId="211"/>
    <tableColumn id="7" name="CCF" dataDxfId="210" totalsRowDxfId="209"/>
    <tableColumn id="8" name="ARL" dataDxfId="208" totalsRowDxfId="207"/>
    <tableColumn id="9" name="Total" totalsRowFunction="sum" dataDxfId="206" totalsRowDxfId="205"/>
  </tableColumns>
  <tableStyleInfo name="TableStyleMedium9" showFirstColumn="0" showLastColumn="0" showRowStripes="1" showColumnStripes="0"/>
</table>
</file>

<file path=xl/tables/table8.xml><?xml version="1.0" encoding="utf-8"?>
<table xmlns="http://schemas.openxmlformats.org/spreadsheetml/2006/main" id="13" name="Tabla10Maquinaria" displayName="Tabla10Maquinaria" ref="B6:F42" totalsRowCount="1" headerRowDxfId="204" dataDxfId="203" totalsRowDxfId="202">
  <autoFilter ref="B6:F41"/>
  <tableColumns count="5">
    <tableColumn id="1" name="Nombre" totalsRowLabel="Total" dataDxfId="201" totalsRowDxfId="200"/>
    <tableColumn id="2" name="Descripción" dataDxfId="199" totalsRowDxfId="198"/>
    <tableColumn id="3" name="Cantidad" dataDxfId="197" totalsRowDxfId="196" dataCellStyle="Millares [0]"/>
    <tableColumn id="4" name="Costo" totalsRowFunction="custom" dataDxfId="195" totalsRowDxfId="194" dataCellStyle="Moneda">
      <totalsRowFormula>SUM(E7:E41)</totalsRowFormula>
    </tableColumn>
    <tableColumn id="5" name="Subtotal" totalsRowFunction="custom" dataDxfId="193" totalsRowDxfId="192" dataCellStyle="Moneda">
      <calculatedColumnFormula>Tabla10Maquinaria[[#This Row],[Cantidad]]*Tabla10Maquinaria[[#This Row],[Costo]]</calculatedColumnFormula>
      <totalsRowFormula>SUM(F7:F41)</totalsRowFormula>
    </tableColumn>
  </tableColumns>
  <tableStyleInfo name="TableStyleMedium9" showFirstColumn="0" showLastColumn="0" showRowStripes="1" showColumnStripes="0"/>
</table>
</file>

<file path=xl/tables/table9.xml><?xml version="1.0" encoding="utf-8"?>
<table xmlns="http://schemas.openxmlformats.org/spreadsheetml/2006/main" id="14" name="Tabla11Equipo" displayName="Tabla11Equipo" ref="B45:F48" totalsRowCount="1" headerRowDxfId="191" dataDxfId="189" totalsRowDxfId="187" headerRowBorderDxfId="190" tableBorderDxfId="188" totalsRowBorderDxfId="186">
  <autoFilter ref="B45:F47"/>
  <tableColumns count="5">
    <tableColumn id="1" name="Nombre" totalsRowLabel="Total" dataDxfId="185" totalsRowDxfId="184"/>
    <tableColumn id="2" name="Descripción" dataDxfId="183" totalsRowDxfId="182"/>
    <tableColumn id="3" name="Cantidad" dataDxfId="181" totalsRowDxfId="180" dataCellStyle="Millares [0]"/>
    <tableColumn id="4" name="Costo" totalsRowFunction="custom" dataDxfId="179" totalsRowDxfId="178" dataCellStyle="Moneda">
      <totalsRowFormula>SUM(E46:E47)</totalsRowFormula>
    </tableColumn>
    <tableColumn id="5" name="Subtotal" totalsRowFunction="custom" dataDxfId="177" totalsRowDxfId="176" dataCellStyle="Moneda">
      <calculatedColumnFormula>Tabla11Equipo[[#This Row],[Costo]]*Tabla11Equipo[[#This Row],[Cantidad]]</calculatedColumnFormula>
      <totalsRowFormula>SUM(F46:F47)</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vmlDrawing" Target="../drawings/vmlDrawing1.v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27"/>
  <sheetViews>
    <sheetView zoomScale="78" zoomScaleNormal="78" workbookViewId="0">
      <selection activeCell="F22" sqref="F22"/>
    </sheetView>
  </sheetViews>
  <sheetFormatPr baseColWidth="10" defaultColWidth="11.42578125" defaultRowHeight="15" x14ac:dyDescent="0.25"/>
  <cols>
    <col min="2" max="2" width="39.140625" customWidth="1"/>
    <col min="3" max="3" width="43" customWidth="1"/>
    <col min="4" max="4" width="33.85546875" customWidth="1"/>
    <col min="5" max="5" width="30.5703125" customWidth="1"/>
    <col min="6" max="6" width="31" customWidth="1"/>
    <col min="7" max="7" width="38.7109375" customWidth="1"/>
  </cols>
  <sheetData>
    <row r="1" spans="1:8" ht="15.75" x14ac:dyDescent="0.25">
      <c r="B1" s="302"/>
      <c r="C1" s="312" t="s">
        <v>600</v>
      </c>
      <c r="D1" s="312" t="s">
        <v>599</v>
      </c>
      <c r="E1" s="312" t="s">
        <v>604</v>
      </c>
      <c r="F1" s="312" t="s">
        <v>601</v>
      </c>
      <c r="G1" s="312" t="s">
        <v>606</v>
      </c>
    </row>
    <row r="2" spans="1:8" ht="15.75" x14ac:dyDescent="0.25">
      <c r="B2" s="302"/>
      <c r="C2" s="304">
        <v>2019</v>
      </c>
      <c r="D2" s="304">
        <v>44077</v>
      </c>
      <c r="E2" s="304" t="s">
        <v>0</v>
      </c>
      <c r="F2" s="307">
        <v>0.747</v>
      </c>
      <c r="G2" s="309" t="s">
        <v>1</v>
      </c>
    </row>
    <row r="3" spans="1:8" ht="15.75" x14ac:dyDescent="0.25">
      <c r="B3" s="302"/>
      <c r="C3" s="304">
        <v>2020</v>
      </c>
      <c r="D3" s="305">
        <f>+D2*(1+0.094)</f>
        <v>48220.238000000005</v>
      </c>
      <c r="E3" s="304" t="s">
        <v>2</v>
      </c>
      <c r="F3" s="307">
        <v>0.39</v>
      </c>
      <c r="G3" s="309" t="s">
        <v>602</v>
      </c>
    </row>
    <row r="4" spans="1:8" ht="15.75" x14ac:dyDescent="0.25">
      <c r="B4" s="302"/>
      <c r="C4" s="304">
        <v>2021</v>
      </c>
      <c r="D4" s="305">
        <f>+D3*(1+0.03)</f>
        <v>49666.845140000005</v>
      </c>
      <c r="E4" s="306" t="s">
        <v>3</v>
      </c>
      <c r="F4" s="308">
        <v>8.2000000000000003E-2</v>
      </c>
      <c r="G4" s="310" t="s">
        <v>4</v>
      </c>
      <c r="H4" t="s">
        <v>603</v>
      </c>
    </row>
    <row r="5" spans="1:8" ht="15.75" x14ac:dyDescent="0.25">
      <c r="B5" s="303"/>
      <c r="C5" s="304">
        <v>2022</v>
      </c>
      <c r="D5" s="305">
        <f>+D4*(1+0.023)</f>
        <v>50809.182578220003</v>
      </c>
      <c r="E5" s="304" t="s">
        <v>605</v>
      </c>
      <c r="F5" s="311">
        <v>0.95</v>
      </c>
      <c r="G5" s="309" t="s">
        <v>5</v>
      </c>
    </row>
    <row r="6" spans="1:8" ht="15.75" x14ac:dyDescent="0.25">
      <c r="B6" s="303"/>
      <c r="C6" s="304">
        <v>2023</v>
      </c>
      <c r="D6" s="305">
        <f>+D5*(1+0.049)</f>
        <v>53298.832524552781</v>
      </c>
      <c r="E6" s="304"/>
      <c r="F6" s="304"/>
      <c r="G6" s="304"/>
    </row>
    <row r="7" spans="1:8" ht="15.75" x14ac:dyDescent="0.25">
      <c r="B7" s="13"/>
      <c r="C7" s="13"/>
      <c r="D7" s="13"/>
      <c r="E7" s="13"/>
      <c r="F7" s="13"/>
      <c r="G7" s="301"/>
    </row>
    <row r="8" spans="1:8" ht="15.75" x14ac:dyDescent="0.25">
      <c r="B8" s="13"/>
      <c r="C8" s="13"/>
      <c r="D8" s="13"/>
      <c r="E8" s="13"/>
      <c r="F8" s="13"/>
      <c r="G8" s="13"/>
      <c r="H8" s="300"/>
    </row>
    <row r="9" spans="1:8" ht="15.75" x14ac:dyDescent="0.25">
      <c r="A9" s="58"/>
      <c r="B9" s="71" t="s">
        <v>6</v>
      </c>
      <c r="C9" s="72" t="s">
        <v>7</v>
      </c>
      <c r="D9" s="72" t="s">
        <v>8</v>
      </c>
      <c r="E9" s="72" t="s">
        <v>9</v>
      </c>
      <c r="F9" s="72" t="s">
        <v>10</v>
      </c>
      <c r="G9" s="72" t="s">
        <v>11</v>
      </c>
    </row>
    <row r="10" spans="1:8" ht="31.5" x14ac:dyDescent="0.25">
      <c r="A10" s="74" t="s">
        <v>12</v>
      </c>
      <c r="B10" s="73" t="s">
        <v>13</v>
      </c>
      <c r="C10" s="262" t="s">
        <v>14</v>
      </c>
      <c r="D10" s="73" t="s">
        <v>15</v>
      </c>
      <c r="E10" s="73" t="s">
        <v>16</v>
      </c>
      <c r="F10" s="73" t="s">
        <v>17</v>
      </c>
      <c r="G10" s="73" t="s">
        <v>18</v>
      </c>
    </row>
    <row r="11" spans="1:8" ht="15.75" x14ac:dyDescent="0.25">
      <c r="A11" s="75">
        <v>2018</v>
      </c>
      <c r="B11" s="64">
        <v>43610</v>
      </c>
      <c r="C11" s="64">
        <f>+B11*0.39</f>
        <v>17007.900000000001</v>
      </c>
      <c r="D11" s="64">
        <f>(C11*$F$2)</f>
        <v>12704.901300000001</v>
      </c>
      <c r="E11" s="64">
        <f>+D11*$F$5</f>
        <v>12069.656235</v>
      </c>
      <c r="F11" s="64">
        <f>(E11*15%)</f>
        <v>1810.4484352500001</v>
      </c>
      <c r="G11" s="64">
        <f>(F11*2)</f>
        <v>3620.8968705000002</v>
      </c>
    </row>
    <row r="12" spans="1:8" ht="15.75" x14ac:dyDescent="0.25">
      <c r="A12" s="75">
        <v>2019</v>
      </c>
      <c r="B12" s="64">
        <f>+D2</f>
        <v>44077</v>
      </c>
      <c r="C12" s="64">
        <f t="shared" ref="C12:C16" si="0">+B12*0.39</f>
        <v>17190.03</v>
      </c>
      <c r="D12" s="64">
        <f>(C12*$F$2)</f>
        <v>12840.95241</v>
      </c>
      <c r="E12" s="64">
        <f>+D12*$F$5</f>
        <v>12198.904789499999</v>
      </c>
      <c r="F12" s="64">
        <f t="shared" ref="F12:F16" si="1">(E12*15%)</f>
        <v>1829.8357184249996</v>
      </c>
      <c r="G12" s="64">
        <f t="shared" ref="G12:G16" si="2">(F12*2)</f>
        <v>3659.6714368499993</v>
      </c>
    </row>
    <row r="13" spans="1:8" ht="15.75" x14ac:dyDescent="0.25">
      <c r="A13" s="75">
        <v>2020</v>
      </c>
      <c r="B13" s="64">
        <f t="shared" ref="B13:B16" si="3">+D3</f>
        <v>48220.238000000005</v>
      </c>
      <c r="C13" s="64">
        <f t="shared" si="0"/>
        <v>18805.892820000001</v>
      </c>
      <c r="D13" s="64">
        <f t="shared" ref="D13:D15" si="4">(C13*$F$2)</f>
        <v>14048.00193654</v>
      </c>
      <c r="E13" s="64">
        <f>+D13*$F$5</f>
        <v>13345.601839712999</v>
      </c>
      <c r="F13" s="64">
        <f t="shared" si="1"/>
        <v>2001.8402759569499</v>
      </c>
      <c r="G13" s="64">
        <f t="shared" si="2"/>
        <v>4003.6805519138998</v>
      </c>
    </row>
    <row r="14" spans="1:8" ht="15.75" x14ac:dyDescent="0.25">
      <c r="A14" s="75">
        <v>2021</v>
      </c>
      <c r="B14" s="64">
        <f t="shared" si="3"/>
        <v>49666.845140000005</v>
      </c>
      <c r="C14" s="64">
        <f t="shared" si="0"/>
        <v>19370.069604600001</v>
      </c>
      <c r="D14" s="64">
        <f>(C14*$F$2)</f>
        <v>14469.441994636201</v>
      </c>
      <c r="E14" s="64">
        <f>+D14*$F$5</f>
        <v>13745.96989490439</v>
      </c>
      <c r="F14" s="64">
        <f t="shared" si="1"/>
        <v>2061.8954842356584</v>
      </c>
      <c r="G14" s="64">
        <f t="shared" si="2"/>
        <v>4123.7909684713168</v>
      </c>
    </row>
    <row r="15" spans="1:8" ht="15.75" x14ac:dyDescent="0.25">
      <c r="A15" s="75">
        <v>2022</v>
      </c>
      <c r="B15" s="64">
        <f t="shared" si="3"/>
        <v>50809.182578220003</v>
      </c>
      <c r="C15" s="64">
        <f t="shared" si="0"/>
        <v>19815.581205505801</v>
      </c>
      <c r="D15" s="254">
        <f t="shared" si="4"/>
        <v>14802.239160512834</v>
      </c>
      <c r="E15" s="64">
        <f>+D15*$F$5</f>
        <v>14062.127202487192</v>
      </c>
      <c r="F15" s="64">
        <f t="shared" si="1"/>
        <v>2109.3190803730786</v>
      </c>
      <c r="G15" s="64">
        <f t="shared" si="2"/>
        <v>4218.6381607461572</v>
      </c>
    </row>
    <row r="16" spans="1:8" ht="15.75" x14ac:dyDescent="0.25">
      <c r="A16" s="253">
        <v>2023</v>
      </c>
      <c r="B16" s="64">
        <f t="shared" si="3"/>
        <v>53298.832524552781</v>
      </c>
      <c r="C16" s="64">
        <f t="shared" si="0"/>
        <v>20786.544684575587</v>
      </c>
      <c r="D16" s="256">
        <f>(C16*$F$2)</f>
        <v>15527.548879377964</v>
      </c>
      <c r="E16" s="64">
        <f>+D16*$F$5</f>
        <v>14751.171435409065</v>
      </c>
      <c r="F16" s="64">
        <f t="shared" si="1"/>
        <v>2212.6757153113599</v>
      </c>
      <c r="G16" s="64">
        <f t="shared" si="2"/>
        <v>4425.3514306227198</v>
      </c>
    </row>
    <row r="17" spans="1:7" ht="15.75" x14ac:dyDescent="0.25">
      <c r="A17" s="252"/>
      <c r="B17" s="13" t="s">
        <v>19</v>
      </c>
      <c r="C17" s="13" t="s">
        <v>20</v>
      </c>
      <c r="D17" s="13" t="s">
        <v>21</v>
      </c>
      <c r="E17" s="13" t="s">
        <v>22</v>
      </c>
      <c r="F17" s="13"/>
      <c r="G17" s="13"/>
    </row>
    <row r="18" spans="1:7" ht="15.75" x14ac:dyDescent="0.25">
      <c r="B18" s="13"/>
      <c r="C18" s="65">
        <v>545210</v>
      </c>
      <c r="D18" s="66">
        <v>1</v>
      </c>
      <c r="E18" s="13" t="s">
        <v>23</v>
      </c>
      <c r="F18" s="13"/>
      <c r="G18" s="255"/>
    </row>
    <row r="19" spans="1:7" ht="15.75" x14ac:dyDescent="0.25">
      <c r="B19" s="13"/>
      <c r="C19" s="65">
        <v>406330</v>
      </c>
      <c r="D19" s="67" t="s">
        <v>24</v>
      </c>
      <c r="E19" s="13" t="s">
        <v>25</v>
      </c>
      <c r="F19" s="13"/>
      <c r="G19" s="13"/>
    </row>
    <row r="20" spans="1:7" ht="15.75" x14ac:dyDescent="0.25">
      <c r="B20" s="13"/>
      <c r="C20" s="68">
        <f>(C19*D18)/C18</f>
        <v>0.74527246382127987</v>
      </c>
      <c r="D20" s="69">
        <f>C20*100</f>
        <v>74.527246382127984</v>
      </c>
      <c r="E20" s="13"/>
      <c r="F20" s="13"/>
      <c r="G20" s="13"/>
    </row>
    <row r="21" spans="1:7" ht="15.75" x14ac:dyDescent="0.25">
      <c r="B21" s="13"/>
      <c r="C21" s="13"/>
      <c r="D21" s="13"/>
      <c r="E21" s="13"/>
      <c r="F21" s="13"/>
      <c r="G21" s="13"/>
    </row>
    <row r="22" spans="1:7" ht="15.75" x14ac:dyDescent="0.25">
      <c r="B22" s="13"/>
      <c r="C22" s="65">
        <v>44700</v>
      </c>
      <c r="D22" s="67" t="s">
        <v>24</v>
      </c>
      <c r="E22" s="13"/>
      <c r="F22" s="13"/>
      <c r="G22" s="13"/>
    </row>
    <row r="23" spans="1:7" ht="15.75" x14ac:dyDescent="0.25">
      <c r="B23" s="13"/>
      <c r="C23" s="65">
        <v>545210</v>
      </c>
      <c r="D23" s="70">
        <v>1</v>
      </c>
      <c r="E23" s="259" t="s">
        <v>26</v>
      </c>
      <c r="F23" s="13"/>
      <c r="G23" s="13"/>
    </row>
    <row r="24" spans="1:7" ht="15.75" x14ac:dyDescent="0.25">
      <c r="B24" s="13"/>
      <c r="C24" s="68">
        <f>(C22*D23)/C23</f>
        <v>8.1986757396232651E-2</v>
      </c>
      <c r="D24" s="69">
        <f>C24*100</f>
        <v>8.1986757396232655</v>
      </c>
      <c r="E24" s="13"/>
      <c r="F24" s="13"/>
      <c r="G24" s="13"/>
    </row>
    <row r="25" spans="1:7" ht="15.75" x14ac:dyDescent="0.25">
      <c r="B25" s="13"/>
      <c r="C25" s="13"/>
      <c r="D25" s="13"/>
      <c r="E25" s="13"/>
      <c r="F25" s="13"/>
      <c r="G25" s="13"/>
    </row>
    <row r="26" spans="1:7" ht="15.75" x14ac:dyDescent="0.25">
      <c r="B26" s="13"/>
      <c r="C26" s="13"/>
      <c r="D26" s="13"/>
      <c r="E26" s="13"/>
      <c r="F26" s="13"/>
      <c r="G26" s="13"/>
    </row>
    <row r="27" spans="1:7" ht="15.75" x14ac:dyDescent="0.25">
      <c r="B27" s="13"/>
      <c r="C27" s="13"/>
      <c r="D27" s="13"/>
      <c r="E27" s="13"/>
      <c r="F27" s="13"/>
      <c r="G27" s="1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22"/>
  <sheetViews>
    <sheetView showGridLines="0" topLeftCell="C1" workbookViewId="0">
      <selection activeCell="D10" sqref="D10"/>
    </sheetView>
  </sheetViews>
  <sheetFormatPr baseColWidth="10" defaultColWidth="11.42578125" defaultRowHeight="15" x14ac:dyDescent="0.25"/>
  <cols>
    <col min="1" max="1" width="11.42578125" style="1"/>
    <col min="2" max="2" width="29.140625" style="1" bestFit="1" customWidth="1"/>
    <col min="3" max="3" width="26.140625" style="1" bestFit="1" customWidth="1"/>
    <col min="4" max="4" width="17.7109375" style="1" bestFit="1" customWidth="1"/>
    <col min="5" max="5" width="18.5703125" style="1" bestFit="1" customWidth="1"/>
    <col min="6" max="6" width="10.140625" style="1" customWidth="1"/>
    <col min="7" max="7" width="18" style="1" customWidth="1"/>
    <col min="8" max="8" width="17.7109375" style="1" bestFit="1" customWidth="1"/>
    <col min="9" max="9" width="15.85546875" style="1" bestFit="1" customWidth="1"/>
    <col min="10" max="16384" width="11.42578125" style="1"/>
  </cols>
  <sheetData>
    <row r="1" spans="1:11" ht="15.75" x14ac:dyDescent="0.25">
      <c r="A1" s="15"/>
      <c r="B1" s="15"/>
      <c r="C1" s="15"/>
      <c r="D1" s="15"/>
      <c r="E1" s="15"/>
      <c r="F1" s="15"/>
      <c r="G1" s="15"/>
      <c r="H1" s="15"/>
      <c r="I1" s="15"/>
      <c r="J1" s="15"/>
      <c r="K1" s="15"/>
    </row>
    <row r="2" spans="1:11" ht="15.75" x14ac:dyDescent="0.25">
      <c r="A2" s="15"/>
      <c r="B2" s="19" t="s">
        <v>375</v>
      </c>
      <c r="C2" s="15"/>
      <c r="D2" s="15"/>
      <c r="E2" s="15"/>
      <c r="F2" s="15"/>
      <c r="G2" s="15"/>
      <c r="H2" s="15"/>
      <c r="I2" s="15"/>
      <c r="J2" s="15"/>
      <c r="K2" s="15"/>
    </row>
    <row r="3" spans="1:11" ht="15.75" x14ac:dyDescent="0.25">
      <c r="A3" s="15"/>
      <c r="B3" s="19" t="s">
        <v>52</v>
      </c>
      <c r="C3" s="15"/>
      <c r="D3" s="15"/>
      <c r="E3" s="15"/>
      <c r="F3" s="15"/>
      <c r="G3" s="15"/>
      <c r="H3" s="15"/>
      <c r="I3" s="15"/>
      <c r="J3" s="15"/>
      <c r="K3" s="15"/>
    </row>
    <row r="4" spans="1:11" ht="15.75" x14ac:dyDescent="0.25">
      <c r="A4" s="15"/>
      <c r="B4" s="15"/>
      <c r="C4" s="15"/>
      <c r="D4" s="15"/>
      <c r="E4" s="15"/>
      <c r="F4" s="15"/>
      <c r="G4" s="15"/>
      <c r="H4" s="15"/>
      <c r="I4" s="15"/>
      <c r="J4" s="15"/>
      <c r="K4" s="15"/>
    </row>
    <row r="5" spans="1:11" ht="15.75" x14ac:dyDescent="0.25">
      <c r="A5" s="15"/>
      <c r="B5" s="15" t="s">
        <v>376</v>
      </c>
      <c r="C5" s="26"/>
      <c r="D5" s="15"/>
      <c r="E5" s="15"/>
      <c r="F5" s="15"/>
      <c r="G5" s="207" t="s">
        <v>377</v>
      </c>
      <c r="H5" s="204">
        <f>Maquinas!F57</f>
        <v>77868468</v>
      </c>
      <c r="I5" s="15"/>
      <c r="J5" s="15"/>
      <c r="K5" s="15"/>
    </row>
    <row r="6" spans="1:11" ht="15.75" x14ac:dyDescent="0.25">
      <c r="A6" s="15"/>
      <c r="B6" s="15"/>
      <c r="C6" s="15"/>
      <c r="D6" s="15"/>
      <c r="E6" s="15"/>
      <c r="F6" s="15"/>
      <c r="G6" s="96" t="s">
        <v>378</v>
      </c>
      <c r="H6" s="194">
        <f>Gastos!D26</f>
        <v>53129812.277888767</v>
      </c>
      <c r="I6" s="281">
        <f>H6-FlujoCaja!D8-FlujoCaja!C50</f>
        <v>33572823.427939892</v>
      </c>
      <c r="J6" s="15"/>
      <c r="K6" s="15"/>
    </row>
    <row r="7" spans="1:11" ht="15.75" x14ac:dyDescent="0.25">
      <c r="A7" s="15"/>
      <c r="B7" s="146" t="s">
        <v>275</v>
      </c>
      <c r="C7" s="106" t="s">
        <v>379</v>
      </c>
      <c r="D7" s="106" t="s">
        <v>380</v>
      </c>
      <c r="E7" s="147" t="s">
        <v>66</v>
      </c>
      <c r="F7" s="15"/>
      <c r="G7" s="96" t="s">
        <v>381</v>
      </c>
      <c r="H7" s="204">
        <f>Nomina!J12</f>
        <v>44707708.221599996</v>
      </c>
      <c r="I7" s="15"/>
      <c r="J7" s="15"/>
      <c r="K7" s="15"/>
    </row>
    <row r="8" spans="1:11" ht="15.75" x14ac:dyDescent="0.25">
      <c r="A8" s="15"/>
      <c r="B8" s="171" t="s">
        <v>382</v>
      </c>
      <c r="C8" s="139">
        <f t="shared" ref="C8:C15" si="0">I11</f>
        <v>0</v>
      </c>
      <c r="D8" s="139"/>
      <c r="E8" s="140"/>
      <c r="F8" s="15"/>
      <c r="G8" s="96" t="s">
        <v>383</v>
      </c>
      <c r="H8" s="194">
        <f>Compras!G42</f>
        <v>593900</v>
      </c>
      <c r="I8" s="15"/>
      <c r="J8" s="15"/>
      <c r="K8" s="15"/>
    </row>
    <row r="9" spans="1:11" ht="15.75" x14ac:dyDescent="0.25">
      <c r="A9" s="15"/>
      <c r="B9" s="171" t="s">
        <v>384</v>
      </c>
      <c r="C9" s="139">
        <f t="shared" si="0"/>
        <v>105779933.09969325</v>
      </c>
      <c r="D9" s="139"/>
      <c r="E9" s="140">
        <f>Tabla21Capital[[#This Row],[Aporte del emprendedor]]</f>
        <v>105779933.09969325</v>
      </c>
      <c r="F9" s="15"/>
      <c r="G9" s="96" t="s">
        <v>385</v>
      </c>
      <c r="H9" s="204">
        <f>SUM(H5:H8)</f>
        <v>176299888.49948877</v>
      </c>
      <c r="I9" s="15"/>
      <c r="J9" s="15"/>
      <c r="K9" s="15"/>
    </row>
    <row r="10" spans="1:11" ht="15.75" x14ac:dyDescent="0.25">
      <c r="A10" s="15"/>
      <c r="B10" s="171" t="s">
        <v>386</v>
      </c>
      <c r="C10" s="139">
        <f t="shared" si="0"/>
        <v>70519955.399795517</v>
      </c>
      <c r="D10" s="139">
        <f t="shared" ref="D10" si="1">I13</f>
        <v>70519955.399795517</v>
      </c>
      <c r="E10" s="140">
        <f>Tabla21Capital[[#This Row],[Otras fuentes]]</f>
        <v>70519955.399795517</v>
      </c>
      <c r="F10" s="15"/>
      <c r="G10" s="15"/>
      <c r="H10" s="15"/>
      <c r="I10" s="15"/>
      <c r="J10" s="15"/>
      <c r="K10" s="15"/>
    </row>
    <row r="11" spans="1:11" ht="15.75" x14ac:dyDescent="0.25">
      <c r="A11" s="15"/>
      <c r="B11" s="171" t="s">
        <v>387</v>
      </c>
      <c r="C11" s="139">
        <f t="shared" si="0"/>
        <v>0</v>
      </c>
      <c r="D11" s="139"/>
      <c r="E11" s="140"/>
      <c r="F11" s="15"/>
      <c r="G11" s="15"/>
      <c r="H11" s="15"/>
      <c r="I11" s="15"/>
      <c r="J11" s="15"/>
      <c r="K11" s="15"/>
    </row>
    <row r="12" spans="1:11" ht="15.75" x14ac:dyDescent="0.25">
      <c r="A12" s="15"/>
      <c r="B12" s="171" t="s">
        <v>388</v>
      </c>
      <c r="C12" s="139">
        <f t="shared" si="0"/>
        <v>0</v>
      </c>
      <c r="D12" s="139"/>
      <c r="E12" s="140"/>
      <c r="F12" s="15"/>
      <c r="G12" s="96" t="s">
        <v>389</v>
      </c>
      <c r="H12" s="205">
        <v>0.6</v>
      </c>
      <c r="I12" s="204">
        <f>H9*H12</f>
        <v>105779933.09969325</v>
      </c>
      <c r="J12" s="15"/>
      <c r="K12" s="15"/>
    </row>
    <row r="13" spans="1:11" ht="15.75" x14ac:dyDescent="0.25">
      <c r="A13" s="15"/>
      <c r="B13" s="171" t="s">
        <v>390</v>
      </c>
      <c r="C13" s="139">
        <f t="shared" si="0"/>
        <v>0</v>
      </c>
      <c r="D13" s="139"/>
      <c r="E13" s="140"/>
      <c r="F13" s="15"/>
      <c r="G13" s="206" t="s">
        <v>391</v>
      </c>
      <c r="H13" s="205">
        <v>0.4</v>
      </c>
      <c r="I13" s="204">
        <f>H9*H13</f>
        <v>70519955.399795517</v>
      </c>
      <c r="J13" s="15"/>
      <c r="K13" s="15"/>
    </row>
    <row r="14" spans="1:11" ht="15.75" x14ac:dyDescent="0.25">
      <c r="A14" s="15"/>
      <c r="B14" s="171" t="s">
        <v>392</v>
      </c>
      <c r="C14" s="139">
        <f t="shared" si="0"/>
        <v>0</v>
      </c>
      <c r="D14" s="139"/>
      <c r="E14" s="140"/>
      <c r="F14" s="15"/>
      <c r="G14" s="15"/>
      <c r="H14" s="15"/>
      <c r="I14" s="15"/>
      <c r="J14" s="15"/>
      <c r="K14" s="15"/>
    </row>
    <row r="15" spans="1:11" ht="15.75" x14ac:dyDescent="0.25">
      <c r="A15" s="15"/>
      <c r="B15" s="171" t="s">
        <v>393</v>
      </c>
      <c r="C15" s="139">
        <f t="shared" si="0"/>
        <v>0</v>
      </c>
      <c r="D15" s="139"/>
      <c r="E15" s="140"/>
      <c r="F15" s="15"/>
      <c r="G15" s="15"/>
      <c r="H15" s="15"/>
      <c r="I15" s="15"/>
      <c r="J15" s="15"/>
      <c r="K15" s="15"/>
    </row>
    <row r="16" spans="1:11" ht="15.75" x14ac:dyDescent="0.25">
      <c r="A16" s="15"/>
      <c r="B16" s="151" t="s">
        <v>66</v>
      </c>
      <c r="C16" s="168"/>
      <c r="D16" s="168"/>
      <c r="E16" s="169">
        <f>E9+E10</f>
        <v>176299888.49948877</v>
      </c>
      <c r="F16" s="15"/>
      <c r="G16" s="15"/>
      <c r="H16" s="15"/>
      <c r="I16" s="15"/>
      <c r="J16" s="15"/>
      <c r="K16" s="15"/>
    </row>
    <row r="17" spans="1:11" ht="15.75" x14ac:dyDescent="0.25">
      <c r="A17" s="15"/>
      <c r="B17" s="15"/>
      <c r="C17" s="15"/>
      <c r="D17" s="15"/>
      <c r="E17" s="15"/>
      <c r="F17" s="15"/>
      <c r="G17" s="15"/>
      <c r="H17" s="15"/>
      <c r="I17" s="15"/>
      <c r="J17" s="15"/>
      <c r="K17" s="15"/>
    </row>
    <row r="18" spans="1:11" ht="15.75" x14ac:dyDescent="0.25">
      <c r="A18" s="15"/>
      <c r="B18" s="15"/>
      <c r="C18" s="15"/>
      <c r="D18" s="15"/>
      <c r="E18" s="15"/>
      <c r="F18" s="15"/>
      <c r="G18" s="15"/>
      <c r="H18" s="15"/>
      <c r="I18" s="15"/>
      <c r="J18" s="15"/>
      <c r="K18" s="15"/>
    </row>
    <row r="19" spans="1:11" ht="15.75" x14ac:dyDescent="0.25">
      <c r="A19" s="15"/>
      <c r="B19" s="15"/>
      <c r="C19" s="15"/>
      <c r="D19" s="15"/>
      <c r="E19" s="15"/>
      <c r="F19" s="15"/>
      <c r="G19" s="15"/>
      <c r="H19" s="15"/>
      <c r="I19" s="15"/>
      <c r="J19" s="15"/>
      <c r="K19" s="15"/>
    </row>
    <row r="20" spans="1:11" ht="15.75" x14ac:dyDescent="0.25">
      <c r="A20" s="15"/>
      <c r="B20" s="15"/>
      <c r="C20" s="15"/>
      <c r="D20" s="15"/>
      <c r="E20" s="15"/>
      <c r="F20" s="15"/>
      <c r="G20" s="15"/>
      <c r="H20" s="15"/>
      <c r="I20" s="15"/>
      <c r="J20" s="15"/>
      <c r="K20" s="15"/>
    </row>
    <row r="21" spans="1:11" ht="15.75" x14ac:dyDescent="0.25">
      <c r="A21" s="15"/>
      <c r="B21" s="15"/>
      <c r="C21" s="15"/>
      <c r="D21" s="15"/>
      <c r="E21" s="15"/>
      <c r="F21" s="15"/>
      <c r="G21" s="15"/>
      <c r="H21" s="15"/>
      <c r="I21" s="15"/>
      <c r="J21" s="15"/>
      <c r="K21" s="15"/>
    </row>
    <row r="22" spans="1:11" ht="15.75" x14ac:dyDescent="0.25">
      <c r="A22" s="15"/>
      <c r="B22" s="15"/>
      <c r="C22" s="15"/>
      <c r="D22" s="15"/>
      <c r="E22" s="15"/>
      <c r="F22" s="15"/>
      <c r="G22" s="15"/>
      <c r="H22" s="15"/>
      <c r="I22" s="15"/>
      <c r="J22" s="15"/>
      <c r="K22" s="15"/>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229"/>
  <sheetViews>
    <sheetView showGridLines="0" workbookViewId="0">
      <selection activeCell="E5" sqref="E5"/>
    </sheetView>
  </sheetViews>
  <sheetFormatPr baseColWidth="10" defaultColWidth="11.42578125" defaultRowHeight="15" x14ac:dyDescent="0.25"/>
  <cols>
    <col min="1" max="1" width="11.42578125" style="1"/>
    <col min="2" max="2" width="20.7109375" style="1" bestFit="1" customWidth="1"/>
    <col min="3" max="3" width="17.7109375" style="2" bestFit="1" customWidth="1"/>
    <col min="4" max="4" width="18.42578125" style="2" bestFit="1" customWidth="1"/>
    <col min="5" max="5" width="17.140625" style="2" customWidth="1"/>
    <col min="6" max="6" width="13.5703125" style="2" bestFit="1" customWidth="1"/>
    <col min="7" max="7" width="17.42578125" style="2" bestFit="1" customWidth="1"/>
    <col min="8" max="8" width="17.7109375" style="2" bestFit="1" customWidth="1"/>
    <col min="9" max="9" width="19.140625" style="10" customWidth="1"/>
    <col min="10" max="10" width="19.42578125" style="10" customWidth="1"/>
    <col min="11" max="11" width="22.140625" style="10" customWidth="1"/>
    <col min="12" max="12" width="15.140625" style="2" bestFit="1" customWidth="1"/>
    <col min="13" max="16384" width="11.42578125" style="1"/>
  </cols>
  <sheetData>
    <row r="1" spans="1:14" ht="15.75" x14ac:dyDescent="0.25">
      <c r="A1" s="15"/>
      <c r="B1" s="15"/>
      <c r="C1" s="20"/>
      <c r="D1" s="20"/>
      <c r="E1" s="20"/>
      <c r="F1" s="20"/>
      <c r="G1" s="20"/>
      <c r="H1" s="20"/>
      <c r="I1" s="33"/>
      <c r="J1" s="33"/>
      <c r="K1" s="33"/>
      <c r="L1" s="20"/>
    </row>
    <row r="2" spans="1:14" ht="15.75" x14ac:dyDescent="0.25">
      <c r="A2" s="15"/>
      <c r="B2" s="19" t="s">
        <v>394</v>
      </c>
      <c r="C2" s="20"/>
      <c r="D2" s="20"/>
      <c r="E2" s="20"/>
      <c r="F2" s="20"/>
      <c r="G2" s="20"/>
      <c r="H2" s="20"/>
      <c r="I2" s="33"/>
      <c r="J2" s="33"/>
      <c r="K2" s="33"/>
      <c r="L2" s="20"/>
    </row>
    <row r="3" spans="1:14" ht="15.75" x14ac:dyDescent="0.25">
      <c r="A3" s="15"/>
      <c r="B3" s="19" t="s">
        <v>52</v>
      </c>
      <c r="C3" s="20"/>
      <c r="D3" s="20"/>
      <c r="E3" s="87"/>
      <c r="F3" s="87" t="s">
        <v>260</v>
      </c>
      <c r="G3" s="87" t="s">
        <v>395</v>
      </c>
      <c r="H3" s="20"/>
      <c r="I3" s="33"/>
      <c r="J3" s="33"/>
      <c r="K3" s="33"/>
      <c r="L3" s="20"/>
    </row>
    <row r="4" spans="1:14" ht="15.75" x14ac:dyDescent="0.25">
      <c r="A4" s="15"/>
      <c r="B4" s="15"/>
      <c r="C4" s="20"/>
      <c r="D4" s="20"/>
      <c r="E4" s="208" t="s">
        <v>591</v>
      </c>
      <c r="F4" s="209">
        <v>0.14699999999999999</v>
      </c>
      <c r="G4" s="209">
        <f>(F4/12)</f>
        <v>1.2249999999999999E-2</v>
      </c>
      <c r="H4" s="20"/>
      <c r="I4" s="20"/>
      <c r="J4" s="13"/>
      <c r="K4" s="41"/>
      <c r="L4" s="42"/>
      <c r="M4"/>
      <c r="N4" s="11"/>
    </row>
    <row r="5" spans="1:14" ht="15.75" x14ac:dyDescent="0.25">
      <c r="A5" s="15"/>
      <c r="B5" s="34" t="s">
        <v>396</v>
      </c>
      <c r="C5" s="43">
        <f>Capital!I13</f>
        <v>70519955.399795517</v>
      </c>
      <c r="D5" s="20"/>
      <c r="E5" s="208" t="s">
        <v>397</v>
      </c>
      <c r="F5" s="209">
        <v>0.25519999999999998</v>
      </c>
      <c r="G5" s="209">
        <f>F5/12</f>
        <v>2.1266666666666666E-2</v>
      </c>
      <c r="H5" s="20"/>
      <c r="I5" s="20"/>
      <c r="J5" s="13"/>
      <c r="K5" s="41"/>
      <c r="L5" s="42"/>
      <c r="M5"/>
      <c r="N5" s="11"/>
    </row>
    <row r="6" spans="1:14" ht="15.75" x14ac:dyDescent="0.25">
      <c r="A6" s="15"/>
      <c r="B6" s="34" t="s">
        <v>398</v>
      </c>
      <c r="C6" s="44">
        <f>G4</f>
        <v>1.2249999999999999E-2</v>
      </c>
      <c r="D6" s="20"/>
      <c r="E6" s="208" t="s">
        <v>399</v>
      </c>
      <c r="F6" s="209">
        <v>0.27450000000000002</v>
      </c>
      <c r="G6" s="209">
        <f>F6/12</f>
        <v>2.2875000000000003E-2</v>
      </c>
      <c r="H6" s="20"/>
      <c r="I6" s="20"/>
      <c r="J6" s="13"/>
      <c r="K6" s="41"/>
      <c r="L6" s="41"/>
      <c r="M6"/>
      <c r="N6" s="7"/>
    </row>
    <row r="7" spans="1:14" ht="15.75" x14ac:dyDescent="0.25">
      <c r="A7" s="15"/>
      <c r="B7" s="34" t="s">
        <v>400</v>
      </c>
      <c r="C7" s="43">
        <v>48</v>
      </c>
      <c r="D7" s="20"/>
      <c r="E7" s="20"/>
      <c r="F7" s="20"/>
      <c r="G7" s="20"/>
      <c r="H7" s="20"/>
      <c r="I7" s="33"/>
      <c r="J7" s="33"/>
      <c r="K7" s="33"/>
      <c r="L7" s="20"/>
    </row>
    <row r="8" spans="1:14" ht="15.75" x14ac:dyDescent="0.25">
      <c r="A8" s="15"/>
      <c r="B8" s="34" t="s">
        <v>401</v>
      </c>
      <c r="C8" s="43">
        <f>C5*0.12%</f>
        <v>84623.94647975461</v>
      </c>
      <c r="D8" s="20"/>
      <c r="E8" s="20"/>
      <c r="F8" s="20"/>
      <c r="G8" s="20"/>
      <c r="H8" s="20"/>
      <c r="I8" s="33"/>
      <c r="J8" s="33"/>
      <c r="K8" s="33"/>
      <c r="L8" s="20"/>
    </row>
    <row r="9" spans="1:14" ht="15.75" x14ac:dyDescent="0.25">
      <c r="A9" s="15"/>
      <c r="B9" s="15"/>
      <c r="C9" s="20"/>
      <c r="D9" s="20"/>
      <c r="E9" s="20"/>
      <c r="F9" s="20"/>
      <c r="G9" s="20"/>
      <c r="H9" s="20"/>
      <c r="I9" s="33"/>
      <c r="J9" s="33"/>
      <c r="K9" s="33"/>
      <c r="L9" s="20"/>
    </row>
    <row r="10" spans="1:14" ht="15.75" x14ac:dyDescent="0.25">
      <c r="A10" s="15"/>
      <c r="B10" s="97" t="s">
        <v>402</v>
      </c>
      <c r="C10" s="154" t="s">
        <v>403</v>
      </c>
      <c r="D10" s="154" t="s">
        <v>404</v>
      </c>
      <c r="E10" s="154" t="s">
        <v>405</v>
      </c>
      <c r="F10" s="154" t="s">
        <v>406</v>
      </c>
      <c r="G10" s="154" t="s">
        <v>407</v>
      </c>
      <c r="H10" s="20"/>
      <c r="I10" s="33"/>
      <c r="J10" s="33"/>
      <c r="K10" s="33"/>
      <c r="L10" s="20"/>
    </row>
    <row r="11" spans="1:14" ht="15.75" x14ac:dyDescent="0.25">
      <c r="A11" s="15"/>
      <c r="B11" s="137" t="s">
        <v>408</v>
      </c>
      <c r="C11" s="139">
        <f>C5</f>
        <v>70519955.399795517</v>
      </c>
      <c r="D11" s="139">
        <f>$C$5/$C$7</f>
        <v>1469165.7374957399</v>
      </c>
      <c r="E11" s="139">
        <f>Tabla25Amortizacion[[#This Row],[Saldo]]*$C$6</f>
        <v>863869.45364749501</v>
      </c>
      <c r="F11" s="139">
        <f>$C$8</f>
        <v>84623.94647975461</v>
      </c>
      <c r="G11" s="139">
        <f>Tabla25Amortizacion[[#This Row],[Abono a capital]]+Tabla25Amortizacion[[#This Row],[Interés]]+Tabla25Amortizacion[[#This Row],[Seguro]]</f>
        <v>2417659.1376229897</v>
      </c>
      <c r="H11" s="20"/>
      <c r="I11" s="33"/>
      <c r="J11" s="33"/>
      <c r="K11" s="33"/>
      <c r="L11" s="20"/>
    </row>
    <row r="12" spans="1:14" ht="15.75" x14ac:dyDescent="0.25">
      <c r="A12" s="15"/>
      <c r="B12" s="137" t="s">
        <v>409</v>
      </c>
      <c r="C12" s="139">
        <f>C11-D11</f>
        <v>69050789.662299782</v>
      </c>
      <c r="D12" s="139">
        <f>$C$5/$C$7</f>
        <v>1469165.7374957399</v>
      </c>
      <c r="E12" s="139">
        <f>Tabla25Amortizacion[[#This Row],[Saldo]]*$C$6</f>
        <v>845872.17336317222</v>
      </c>
      <c r="F12" s="139">
        <f t="shared" ref="F12:F42" si="0">$C$8</f>
        <v>84623.94647975461</v>
      </c>
      <c r="G12" s="139">
        <f>Tabla25Amortizacion[[#This Row],[Abono a capital]]+Tabla25Amortizacion[[#This Row],[Interés]]+Tabla25Amortizacion[[#This Row],[Seguro]]</f>
        <v>2399661.8573386669</v>
      </c>
      <c r="H12" s="20"/>
      <c r="I12" s="33"/>
      <c r="J12" s="33"/>
      <c r="K12" s="33"/>
      <c r="L12" s="20"/>
    </row>
    <row r="13" spans="1:14" ht="15.75" x14ac:dyDescent="0.25">
      <c r="A13" s="15"/>
      <c r="B13" s="137" t="s">
        <v>410</v>
      </c>
      <c r="C13" s="139">
        <f>C12-D12</f>
        <v>67581623.924804047</v>
      </c>
      <c r="D13" s="139">
        <f t="shared" ref="D13:D58" si="1">$C$5/$C$7</f>
        <v>1469165.7374957399</v>
      </c>
      <c r="E13" s="139">
        <f>Tabla25Amortizacion[[#This Row],[Saldo]]*$C$6</f>
        <v>827874.89307884953</v>
      </c>
      <c r="F13" s="139">
        <f t="shared" si="0"/>
        <v>84623.94647975461</v>
      </c>
      <c r="G13" s="139">
        <f>Tabla25Amortizacion[[#This Row],[Abono a capital]]+Tabla25Amortizacion[[#This Row],[Interés]]+Tabla25Amortizacion[[#This Row],[Seguro]]</f>
        <v>2381664.5770543441</v>
      </c>
      <c r="H13" s="20"/>
      <c r="I13" s="33"/>
      <c r="J13" s="33"/>
      <c r="K13" s="33"/>
      <c r="L13" s="20"/>
    </row>
    <row r="14" spans="1:14" ht="15.75" x14ac:dyDescent="0.25">
      <c r="A14" s="15"/>
      <c r="B14" s="137" t="s">
        <v>411</v>
      </c>
      <c r="C14" s="139">
        <f>C13-D13</f>
        <v>66112458.187308304</v>
      </c>
      <c r="D14" s="139">
        <f t="shared" si="1"/>
        <v>1469165.7374957399</v>
      </c>
      <c r="E14" s="139">
        <f>Tabla25Amortizacion[[#This Row],[Saldo]]*$C$6</f>
        <v>809877.61279452662</v>
      </c>
      <c r="F14" s="139">
        <f t="shared" si="0"/>
        <v>84623.94647975461</v>
      </c>
      <c r="G14" s="139">
        <f>Tabla25Amortizacion[[#This Row],[Abono a capital]]+Tabla25Amortizacion[[#This Row],[Interés]]+Tabla25Amortizacion[[#This Row],[Seguro]]</f>
        <v>2363667.2967700213</v>
      </c>
      <c r="H14" s="20"/>
      <c r="I14" s="33"/>
      <c r="J14" s="33"/>
      <c r="K14" s="33"/>
      <c r="L14" s="20"/>
    </row>
    <row r="15" spans="1:14" ht="15.75" x14ac:dyDescent="0.25">
      <c r="A15" s="15"/>
      <c r="B15" s="137" t="s">
        <v>412</v>
      </c>
      <c r="C15" s="139">
        <f t="shared" ref="C15:C57" si="2">C14-D14</f>
        <v>64643292.449812561</v>
      </c>
      <c r="D15" s="139">
        <f t="shared" si="1"/>
        <v>1469165.7374957399</v>
      </c>
      <c r="E15" s="139">
        <f>Tabla25Amortizacion[[#This Row],[Saldo]]*$C$6</f>
        <v>791880.33251020382</v>
      </c>
      <c r="F15" s="139">
        <f t="shared" si="0"/>
        <v>84623.94647975461</v>
      </c>
      <c r="G15" s="139">
        <f>Tabla25Amortizacion[[#This Row],[Abono a capital]]+Tabla25Amortizacion[[#This Row],[Interés]]+Tabla25Amortizacion[[#This Row],[Seguro]]</f>
        <v>2345670.0164856985</v>
      </c>
      <c r="H15" s="20"/>
      <c r="I15" s="33"/>
      <c r="J15" s="33"/>
      <c r="K15" s="33"/>
      <c r="L15" s="20"/>
    </row>
    <row r="16" spans="1:14" ht="15.75" x14ac:dyDescent="0.25">
      <c r="A16" s="15"/>
      <c r="B16" s="137" t="s">
        <v>413</v>
      </c>
      <c r="C16" s="139">
        <f t="shared" si="2"/>
        <v>63174126.712316819</v>
      </c>
      <c r="D16" s="139">
        <f t="shared" si="1"/>
        <v>1469165.7374957399</v>
      </c>
      <c r="E16" s="139">
        <f>Tabla25Amortizacion[[#This Row],[Saldo]]*$C$6</f>
        <v>773883.05222588091</v>
      </c>
      <c r="F16" s="139">
        <f t="shared" si="0"/>
        <v>84623.94647975461</v>
      </c>
      <c r="G16" s="139">
        <f>Tabla25Amortizacion[[#This Row],[Abono a capital]]+Tabla25Amortizacion[[#This Row],[Interés]]+Tabla25Amortizacion[[#This Row],[Seguro]]</f>
        <v>2327672.7362013753</v>
      </c>
      <c r="H16" s="20"/>
      <c r="I16" s="33"/>
      <c r="J16" s="33"/>
      <c r="K16" s="33"/>
      <c r="L16" s="20"/>
    </row>
    <row r="17" spans="1:12" ht="15.75" x14ac:dyDescent="0.25">
      <c r="A17" s="15"/>
      <c r="B17" s="137" t="s">
        <v>414</v>
      </c>
      <c r="C17" s="139">
        <f>C16-D16</f>
        <v>61704960.974821076</v>
      </c>
      <c r="D17" s="139">
        <f t="shared" si="1"/>
        <v>1469165.7374957399</v>
      </c>
      <c r="E17" s="139">
        <f>Tabla25Amortizacion[[#This Row],[Saldo]]*$C$6</f>
        <v>755885.77194155811</v>
      </c>
      <c r="F17" s="139">
        <f t="shared" si="0"/>
        <v>84623.94647975461</v>
      </c>
      <c r="G17" s="139">
        <f>Tabla25Amortizacion[[#This Row],[Abono a capital]]+Tabla25Amortizacion[[#This Row],[Interés]]+Tabla25Amortizacion[[#This Row],[Seguro]]</f>
        <v>2309675.4559170525</v>
      </c>
      <c r="H17" s="20"/>
      <c r="I17" s="33"/>
      <c r="J17" s="33"/>
      <c r="K17" s="33"/>
      <c r="L17" s="20"/>
    </row>
    <row r="18" spans="1:12" ht="15.75" x14ac:dyDescent="0.25">
      <c r="A18" s="15"/>
      <c r="B18" s="137" t="s">
        <v>415</v>
      </c>
      <c r="C18" s="139">
        <f>C17-D17</f>
        <v>60235795.237325333</v>
      </c>
      <c r="D18" s="139">
        <f t="shared" si="1"/>
        <v>1469165.7374957399</v>
      </c>
      <c r="E18" s="139">
        <f>Tabla25Amortizacion[[#This Row],[Saldo]]*$C$6</f>
        <v>737888.49165723531</v>
      </c>
      <c r="F18" s="139">
        <f t="shared" si="0"/>
        <v>84623.94647975461</v>
      </c>
      <c r="G18" s="139">
        <f>Tabla25Amortizacion[[#This Row],[Abono a capital]]+Tabla25Amortizacion[[#This Row],[Interés]]+Tabla25Amortizacion[[#This Row],[Seguro]]</f>
        <v>2291678.1756327297</v>
      </c>
      <c r="H18" s="20"/>
      <c r="I18" s="33"/>
      <c r="J18" s="33"/>
      <c r="K18" s="33"/>
      <c r="L18" s="20"/>
    </row>
    <row r="19" spans="1:12" ht="15.75" x14ac:dyDescent="0.25">
      <c r="A19" s="15"/>
      <c r="B19" s="137" t="s">
        <v>416</v>
      </c>
      <c r="C19" s="139">
        <f t="shared" si="2"/>
        <v>58766629.49982959</v>
      </c>
      <c r="D19" s="139">
        <f t="shared" si="1"/>
        <v>1469165.7374957399</v>
      </c>
      <c r="E19" s="139">
        <f>Tabla25Amortizacion[[#This Row],[Saldo]]*$C$6</f>
        <v>719891.2113729124</v>
      </c>
      <c r="F19" s="139">
        <f t="shared" si="0"/>
        <v>84623.94647975461</v>
      </c>
      <c r="G19" s="139">
        <f>Tabla25Amortizacion[[#This Row],[Abono a capital]]+Tabla25Amortizacion[[#This Row],[Interés]]+Tabla25Amortizacion[[#This Row],[Seguro]]</f>
        <v>2273680.8953484069</v>
      </c>
      <c r="H19" s="20"/>
      <c r="I19" s="33"/>
      <c r="J19" s="33"/>
      <c r="K19" s="33"/>
      <c r="L19" s="20"/>
    </row>
    <row r="20" spans="1:12" ht="16.5" thickBot="1" x14ac:dyDescent="0.3">
      <c r="A20" s="15"/>
      <c r="B20" s="137" t="s">
        <v>417</v>
      </c>
      <c r="C20" s="139">
        <f>C19-D19</f>
        <v>57297463.762333848</v>
      </c>
      <c r="D20" s="139">
        <f t="shared" si="1"/>
        <v>1469165.7374957399</v>
      </c>
      <c r="E20" s="139">
        <f>Tabla25Amortizacion[[#This Row],[Saldo]]*$C$6</f>
        <v>701893.9310885896</v>
      </c>
      <c r="F20" s="139">
        <f t="shared" si="0"/>
        <v>84623.94647975461</v>
      </c>
      <c r="G20" s="139">
        <f>Tabla25Amortizacion[[#This Row],[Abono a capital]]+Tabla25Amortizacion[[#This Row],[Interés]]+Tabla25Amortizacion[[#This Row],[Seguro]]</f>
        <v>2255683.6150640841</v>
      </c>
      <c r="H20" s="20"/>
      <c r="I20" s="33"/>
      <c r="J20" s="33"/>
      <c r="K20" s="33"/>
      <c r="L20" s="20"/>
    </row>
    <row r="21" spans="1:12" ht="15.75" x14ac:dyDescent="0.25">
      <c r="A21" s="15"/>
      <c r="B21" s="137" t="s">
        <v>418</v>
      </c>
      <c r="C21" s="139">
        <f t="shared" si="2"/>
        <v>55828298.024838105</v>
      </c>
      <c r="D21" s="139">
        <f t="shared" si="1"/>
        <v>1469165.7374957399</v>
      </c>
      <c r="E21" s="139">
        <f>Tabla25Amortizacion[[#This Row],[Saldo]]*$C$6</f>
        <v>683896.65080426668</v>
      </c>
      <c r="F21" s="139">
        <f t="shared" si="0"/>
        <v>84623.94647975461</v>
      </c>
      <c r="G21" s="139">
        <f>Tabla25Amortizacion[[#This Row],[Abono a capital]]+Tabla25Amortizacion[[#This Row],[Interés]]+Tabla25Amortizacion[[#This Row],[Seguro]]</f>
        <v>2237686.3347797613</v>
      </c>
      <c r="H21" s="210" t="s">
        <v>419</v>
      </c>
      <c r="I21" s="36" t="s">
        <v>405</v>
      </c>
      <c r="J21" s="36" t="s">
        <v>406</v>
      </c>
      <c r="K21" s="37" t="s">
        <v>420</v>
      </c>
      <c r="L21" s="20"/>
    </row>
    <row r="22" spans="1:12" ht="16.5" thickBot="1" x14ac:dyDescent="0.3">
      <c r="A22" s="15"/>
      <c r="B22" s="137" t="s">
        <v>421</v>
      </c>
      <c r="C22" s="139">
        <f t="shared" si="2"/>
        <v>54359132.287342362</v>
      </c>
      <c r="D22" s="139">
        <f t="shared" si="1"/>
        <v>1469165.7374957399</v>
      </c>
      <c r="E22" s="139">
        <f>Tabla25Amortizacion[[#This Row],[Saldo]]*$C$6</f>
        <v>665899.37051994388</v>
      </c>
      <c r="F22" s="139">
        <f t="shared" si="0"/>
        <v>84623.94647975461</v>
      </c>
      <c r="G22" s="139">
        <f>Tabla25Amortizacion[[#This Row],[Abono a capital]]+Tabla25Amortizacion[[#This Row],[Interés]]+Tabla25Amortizacion[[#This Row],[Seguro]]</f>
        <v>2219689.0544954385</v>
      </c>
      <c r="H22" s="211">
        <f>SUM(D11:D22)</f>
        <v>17629988.849948876</v>
      </c>
      <c r="I22" s="53">
        <f>SUM(E11:E22)</f>
        <v>9178612.9450046346</v>
      </c>
      <c r="J22" s="53">
        <f>SUM(F11:F22)</f>
        <v>1015487.3577570555</v>
      </c>
      <c r="K22" s="54">
        <f>I22+J22</f>
        <v>10194100.302761691</v>
      </c>
      <c r="L22" s="20"/>
    </row>
    <row r="23" spans="1:12" ht="15.75" x14ac:dyDescent="0.25">
      <c r="A23" s="15"/>
      <c r="B23" s="137" t="s">
        <v>422</v>
      </c>
      <c r="C23" s="139">
        <f t="shared" si="2"/>
        <v>52889966.549846619</v>
      </c>
      <c r="D23" s="139">
        <f t="shared" si="1"/>
        <v>1469165.7374957399</v>
      </c>
      <c r="E23" s="139">
        <f>Tabla25Amortizacion[[#This Row],[Saldo]]*$C$6</f>
        <v>647902.09023562097</v>
      </c>
      <c r="F23" s="139">
        <f t="shared" si="0"/>
        <v>84623.94647975461</v>
      </c>
      <c r="G23" s="139">
        <f>Tabla25Amortizacion[[#This Row],[Abono a capital]]+Tabla25Amortizacion[[#This Row],[Interés]]+Tabla25Amortizacion[[#This Row],[Seguro]]</f>
        <v>2201691.7742111152</v>
      </c>
      <c r="H23" s="20"/>
      <c r="I23" s="33"/>
      <c r="J23" s="33"/>
      <c r="K23" s="33"/>
      <c r="L23" s="20"/>
    </row>
    <row r="24" spans="1:12" ht="15.75" x14ac:dyDescent="0.25">
      <c r="A24" s="15"/>
      <c r="B24" s="137" t="s">
        <v>423</v>
      </c>
      <c r="C24" s="139">
        <f t="shared" si="2"/>
        <v>51420800.812350877</v>
      </c>
      <c r="D24" s="139">
        <f t="shared" si="1"/>
        <v>1469165.7374957399</v>
      </c>
      <c r="E24" s="139">
        <f>Tabla25Amortizacion[[#This Row],[Saldo]]*$C$6</f>
        <v>629904.80995129817</v>
      </c>
      <c r="F24" s="139">
        <f t="shared" si="0"/>
        <v>84623.94647975461</v>
      </c>
      <c r="G24" s="139">
        <f>Tabla25Amortizacion[[#This Row],[Abono a capital]]+Tabla25Amortizacion[[#This Row],[Interés]]+Tabla25Amortizacion[[#This Row],[Seguro]]</f>
        <v>2183694.4939267924</v>
      </c>
      <c r="H24" s="20"/>
      <c r="I24" s="33"/>
      <c r="J24" s="33"/>
      <c r="K24" s="33"/>
      <c r="L24" s="20"/>
    </row>
    <row r="25" spans="1:12" ht="15.75" x14ac:dyDescent="0.25">
      <c r="A25" s="15"/>
      <c r="B25" s="137" t="s">
        <v>424</v>
      </c>
      <c r="C25" s="139">
        <f t="shared" si="2"/>
        <v>49951635.074855134</v>
      </c>
      <c r="D25" s="139">
        <f t="shared" si="1"/>
        <v>1469165.7374957399</v>
      </c>
      <c r="E25" s="139">
        <f>Tabla25Amortizacion[[#This Row],[Saldo]]*$C$6</f>
        <v>611907.52966697537</v>
      </c>
      <c r="F25" s="139">
        <f t="shared" si="0"/>
        <v>84623.94647975461</v>
      </c>
      <c r="G25" s="139">
        <f>Tabla25Amortizacion[[#This Row],[Abono a capital]]+Tabla25Amortizacion[[#This Row],[Interés]]+Tabla25Amortizacion[[#This Row],[Seguro]]</f>
        <v>2165697.2136424701</v>
      </c>
      <c r="H25" s="20"/>
      <c r="I25" s="33"/>
      <c r="J25" s="33"/>
      <c r="K25" s="33"/>
      <c r="L25" s="20"/>
    </row>
    <row r="26" spans="1:12" ht="15.75" x14ac:dyDescent="0.25">
      <c r="A26" s="15"/>
      <c r="B26" s="137" t="s">
        <v>425</v>
      </c>
      <c r="C26" s="139">
        <f t="shared" si="2"/>
        <v>48482469.337359391</v>
      </c>
      <c r="D26" s="139">
        <f t="shared" si="1"/>
        <v>1469165.7374957399</v>
      </c>
      <c r="E26" s="139">
        <f>Tabla25Amortizacion[[#This Row],[Saldo]]*$C$6</f>
        <v>593910.24938265246</v>
      </c>
      <c r="F26" s="139">
        <f t="shared" si="0"/>
        <v>84623.94647975461</v>
      </c>
      <c r="G26" s="139">
        <f>Tabla25Amortizacion[[#This Row],[Abono a capital]]+Tabla25Amortizacion[[#This Row],[Interés]]+Tabla25Amortizacion[[#This Row],[Seguro]]</f>
        <v>2147699.9333581468</v>
      </c>
      <c r="H26" s="20"/>
      <c r="I26" s="33"/>
      <c r="J26" s="33"/>
      <c r="K26" s="33"/>
      <c r="L26" s="20"/>
    </row>
    <row r="27" spans="1:12" ht="15.75" x14ac:dyDescent="0.25">
      <c r="A27" s="15"/>
      <c r="B27" s="137" t="s">
        <v>426</v>
      </c>
      <c r="C27" s="139">
        <f t="shared" si="2"/>
        <v>47013303.599863648</v>
      </c>
      <c r="D27" s="139">
        <f t="shared" si="1"/>
        <v>1469165.7374957399</v>
      </c>
      <c r="E27" s="139">
        <f>Tabla25Amortizacion[[#This Row],[Saldo]]*$C$6</f>
        <v>575912.96909832966</v>
      </c>
      <c r="F27" s="139">
        <f t="shared" si="0"/>
        <v>84623.94647975461</v>
      </c>
      <c r="G27" s="139">
        <f>Tabla25Amortizacion[[#This Row],[Abono a capital]]+Tabla25Amortizacion[[#This Row],[Interés]]+Tabla25Amortizacion[[#This Row],[Seguro]]</f>
        <v>2129702.653073824</v>
      </c>
      <c r="H27" s="20"/>
      <c r="I27" s="33"/>
      <c r="J27" s="33"/>
      <c r="K27" s="33"/>
      <c r="L27" s="20"/>
    </row>
    <row r="28" spans="1:12" ht="15.75" x14ac:dyDescent="0.25">
      <c r="A28" s="15"/>
      <c r="B28" s="137" t="s">
        <v>427</v>
      </c>
      <c r="C28" s="139">
        <f t="shared" si="2"/>
        <v>45544137.862367906</v>
      </c>
      <c r="D28" s="139">
        <f t="shared" si="1"/>
        <v>1469165.7374957399</v>
      </c>
      <c r="E28" s="139">
        <f>Tabla25Amortizacion[[#This Row],[Saldo]]*$C$6</f>
        <v>557915.68881400675</v>
      </c>
      <c r="F28" s="139">
        <f t="shared" si="0"/>
        <v>84623.94647975461</v>
      </c>
      <c r="G28" s="139">
        <f>Tabla25Amortizacion[[#This Row],[Abono a capital]]+Tabla25Amortizacion[[#This Row],[Interés]]+Tabla25Amortizacion[[#This Row],[Seguro]]</f>
        <v>2111705.3727895012</v>
      </c>
      <c r="H28" s="20"/>
      <c r="I28" s="33"/>
      <c r="J28" s="33"/>
      <c r="K28" s="33"/>
      <c r="L28" s="20"/>
    </row>
    <row r="29" spans="1:12" ht="15.75" x14ac:dyDescent="0.25">
      <c r="A29" s="15"/>
      <c r="B29" s="137" t="s">
        <v>428</v>
      </c>
      <c r="C29" s="139">
        <f t="shared" si="2"/>
        <v>44074972.124872163</v>
      </c>
      <c r="D29" s="139">
        <f t="shared" si="1"/>
        <v>1469165.7374957399</v>
      </c>
      <c r="E29" s="139">
        <f>Tabla25Amortizacion[[#This Row],[Saldo]]*$C$6</f>
        <v>539918.40852968395</v>
      </c>
      <c r="F29" s="139">
        <f t="shared" si="0"/>
        <v>84623.94647975461</v>
      </c>
      <c r="G29" s="139">
        <f>Tabla25Amortizacion[[#This Row],[Abono a capital]]+Tabla25Amortizacion[[#This Row],[Interés]]+Tabla25Amortizacion[[#This Row],[Seguro]]</f>
        <v>2093708.0925051784</v>
      </c>
      <c r="H29" s="20"/>
      <c r="I29" s="33"/>
      <c r="J29" s="33"/>
      <c r="K29" s="33"/>
      <c r="L29" s="20"/>
    </row>
    <row r="30" spans="1:12" ht="15.75" x14ac:dyDescent="0.25">
      <c r="A30" s="15"/>
      <c r="B30" s="137" t="s">
        <v>429</v>
      </c>
      <c r="C30" s="139">
        <f t="shared" si="2"/>
        <v>42605806.38737642</v>
      </c>
      <c r="D30" s="139">
        <f t="shared" si="1"/>
        <v>1469165.7374957399</v>
      </c>
      <c r="E30" s="139">
        <f>Tabla25Amortizacion[[#This Row],[Saldo]]*$C$6</f>
        <v>521921.12824536109</v>
      </c>
      <c r="F30" s="139">
        <f t="shared" si="0"/>
        <v>84623.94647975461</v>
      </c>
      <c r="G30" s="139">
        <f>Tabla25Amortizacion[[#This Row],[Abono a capital]]+Tabla25Amortizacion[[#This Row],[Interés]]+Tabla25Amortizacion[[#This Row],[Seguro]]</f>
        <v>2075710.8122208556</v>
      </c>
      <c r="H30" s="20"/>
      <c r="I30" s="33"/>
      <c r="J30" s="33"/>
      <c r="K30" s="33"/>
      <c r="L30" s="20"/>
    </row>
    <row r="31" spans="1:12" ht="15.75" x14ac:dyDescent="0.25">
      <c r="A31" s="15"/>
      <c r="B31" s="137" t="s">
        <v>430</v>
      </c>
      <c r="C31" s="139">
        <f t="shared" si="2"/>
        <v>41136640.649880677</v>
      </c>
      <c r="D31" s="139">
        <f t="shared" si="1"/>
        <v>1469165.7374957399</v>
      </c>
      <c r="E31" s="139">
        <f>Tabla25Amortizacion[[#This Row],[Saldo]]*$C$6</f>
        <v>503923.84796103823</v>
      </c>
      <c r="F31" s="139">
        <f t="shared" si="0"/>
        <v>84623.94647975461</v>
      </c>
      <c r="G31" s="139">
        <f>Tabla25Amortizacion[[#This Row],[Abono a capital]]+Tabla25Amortizacion[[#This Row],[Interés]]+Tabla25Amortizacion[[#This Row],[Seguro]]</f>
        <v>2057713.5319365328</v>
      </c>
      <c r="H31" s="20"/>
      <c r="I31" s="33"/>
      <c r="J31" s="33"/>
      <c r="K31" s="33"/>
      <c r="L31" s="20"/>
    </row>
    <row r="32" spans="1:12" ht="16.5" thickBot="1" x14ac:dyDescent="0.3">
      <c r="A32" s="15"/>
      <c r="B32" s="137" t="s">
        <v>431</v>
      </c>
      <c r="C32" s="139">
        <f>C31-D31</f>
        <v>39667474.912384935</v>
      </c>
      <c r="D32" s="139">
        <f t="shared" si="1"/>
        <v>1469165.7374957399</v>
      </c>
      <c r="E32" s="139">
        <f>Tabla25Amortizacion[[#This Row],[Saldo]]*$C$6</f>
        <v>485926.56767671538</v>
      </c>
      <c r="F32" s="139">
        <f t="shared" si="0"/>
        <v>84623.94647975461</v>
      </c>
      <c r="G32" s="139">
        <f>Tabla25Amortizacion[[#This Row],[Abono a capital]]+Tabla25Amortizacion[[#This Row],[Interés]]+Tabla25Amortizacion[[#This Row],[Seguro]]</f>
        <v>2039716.2516522098</v>
      </c>
      <c r="H32" s="20"/>
      <c r="I32" s="33"/>
      <c r="J32" s="33"/>
      <c r="K32" s="33"/>
      <c r="L32" s="20"/>
    </row>
    <row r="33" spans="1:12" ht="15.75" x14ac:dyDescent="0.25">
      <c r="A33" s="15"/>
      <c r="B33" s="137" t="s">
        <v>432</v>
      </c>
      <c r="C33" s="139">
        <f t="shared" si="2"/>
        <v>38198309.174889192</v>
      </c>
      <c r="D33" s="139">
        <f t="shared" si="1"/>
        <v>1469165.7374957399</v>
      </c>
      <c r="E33" s="139">
        <f>Tabla25Amortizacion[[#This Row],[Saldo]]*$C$6</f>
        <v>467929.28739239258</v>
      </c>
      <c r="F33" s="139">
        <f t="shared" si="0"/>
        <v>84623.94647975461</v>
      </c>
      <c r="G33" s="139">
        <f>Tabla25Amortizacion[[#This Row],[Abono a capital]]+Tabla25Amortizacion[[#This Row],[Interés]]+Tabla25Amortizacion[[#This Row],[Seguro]]</f>
        <v>2021718.971367887</v>
      </c>
      <c r="H33" s="210" t="s">
        <v>419</v>
      </c>
      <c r="I33" s="36" t="s">
        <v>405</v>
      </c>
      <c r="J33" s="36" t="s">
        <v>406</v>
      </c>
      <c r="K33" s="37" t="s">
        <v>420</v>
      </c>
      <c r="L33" s="20"/>
    </row>
    <row r="34" spans="1:12" ht="16.5" thickBot="1" x14ac:dyDescent="0.3">
      <c r="A34" s="15"/>
      <c r="B34" s="137" t="s">
        <v>433</v>
      </c>
      <c r="C34" s="139">
        <f t="shared" si="2"/>
        <v>36729143.437393449</v>
      </c>
      <c r="D34" s="139">
        <f t="shared" si="1"/>
        <v>1469165.7374957399</v>
      </c>
      <c r="E34" s="139">
        <f>Tabla25Amortizacion[[#This Row],[Saldo]]*$C$6</f>
        <v>449932.00710806972</v>
      </c>
      <c r="F34" s="139">
        <f t="shared" si="0"/>
        <v>84623.94647975461</v>
      </c>
      <c r="G34" s="139">
        <f>Tabla25Amortizacion[[#This Row],[Abono a capital]]+Tabla25Amortizacion[[#This Row],[Interés]]+Tabla25Amortizacion[[#This Row],[Seguro]]</f>
        <v>2003721.6910835642</v>
      </c>
      <c r="H34" s="211">
        <f>SUM(D23:D34)</f>
        <v>17629988.849948876</v>
      </c>
      <c r="I34" s="53">
        <f>SUM(E23:E34)</f>
        <v>6587004.5840621451</v>
      </c>
      <c r="J34" s="53">
        <f>SUM(F23:F34)</f>
        <v>1015487.3577570555</v>
      </c>
      <c r="K34" s="54">
        <f>I34+J34</f>
        <v>7602491.9418192003</v>
      </c>
      <c r="L34" s="20">
        <f>SUM(G23:G34)</f>
        <v>25232480.791768085</v>
      </c>
    </row>
    <row r="35" spans="1:12" ht="15.75" x14ac:dyDescent="0.25">
      <c r="A35" s="15"/>
      <c r="B35" s="137" t="s">
        <v>434</v>
      </c>
      <c r="C35" s="139">
        <f t="shared" si="2"/>
        <v>35259977.699897707</v>
      </c>
      <c r="D35" s="139">
        <f t="shared" si="1"/>
        <v>1469165.7374957399</v>
      </c>
      <c r="E35" s="139">
        <f>Tabla25Amortizacion[[#This Row],[Saldo]]*$C$6</f>
        <v>431934.72682374687</v>
      </c>
      <c r="F35" s="139">
        <f t="shared" si="0"/>
        <v>84623.94647975461</v>
      </c>
      <c r="G35" s="139">
        <f>Tabla25Amortizacion[[#This Row],[Abono a capital]]+Tabla25Amortizacion[[#This Row],[Interés]]+Tabla25Amortizacion[[#This Row],[Seguro]]</f>
        <v>1985724.4107992414</v>
      </c>
      <c r="H35" s="20"/>
      <c r="I35" s="33"/>
      <c r="J35" s="33"/>
      <c r="K35" s="33"/>
      <c r="L35" s="20"/>
    </row>
    <row r="36" spans="1:12" ht="15.75" x14ac:dyDescent="0.25">
      <c r="A36" s="15"/>
      <c r="B36" s="137" t="s">
        <v>435</v>
      </c>
      <c r="C36" s="139">
        <f t="shared" si="2"/>
        <v>33790811.962401964</v>
      </c>
      <c r="D36" s="139">
        <f t="shared" si="1"/>
        <v>1469165.7374957399</v>
      </c>
      <c r="E36" s="139">
        <f>Tabla25Amortizacion[[#This Row],[Saldo]]*$C$6</f>
        <v>413937.44653942401</v>
      </c>
      <c r="F36" s="139">
        <f t="shared" si="0"/>
        <v>84623.94647975461</v>
      </c>
      <c r="G36" s="139">
        <f>Tabla25Amortizacion[[#This Row],[Abono a capital]]+Tabla25Amortizacion[[#This Row],[Interés]]+Tabla25Amortizacion[[#This Row],[Seguro]]</f>
        <v>1967727.1305149184</v>
      </c>
      <c r="H36" s="20"/>
      <c r="I36" s="33"/>
      <c r="J36" s="33"/>
      <c r="K36" s="33"/>
      <c r="L36" s="20"/>
    </row>
    <row r="37" spans="1:12" ht="15.75" x14ac:dyDescent="0.25">
      <c r="A37" s="15"/>
      <c r="B37" s="137" t="s">
        <v>436</v>
      </c>
      <c r="C37" s="139">
        <f t="shared" si="2"/>
        <v>32321646.224906225</v>
      </c>
      <c r="D37" s="139">
        <f t="shared" si="1"/>
        <v>1469165.7374957399</v>
      </c>
      <c r="E37" s="139">
        <f>Tabla25Amortizacion[[#This Row],[Saldo]]*$C$6</f>
        <v>395940.16625510121</v>
      </c>
      <c r="F37" s="139">
        <f t="shared" si="0"/>
        <v>84623.94647975461</v>
      </c>
      <c r="G37" s="139">
        <f>Tabla25Amortizacion[[#This Row],[Abono a capital]]+Tabla25Amortizacion[[#This Row],[Interés]]+Tabla25Amortizacion[[#This Row],[Seguro]]</f>
        <v>1949729.8502305956</v>
      </c>
      <c r="H37" s="20"/>
      <c r="I37" s="33"/>
      <c r="J37" s="33"/>
      <c r="K37" s="33"/>
      <c r="L37" s="20"/>
    </row>
    <row r="38" spans="1:12" ht="15.75" x14ac:dyDescent="0.25">
      <c r="A38" s="15"/>
      <c r="B38" s="137" t="s">
        <v>437</v>
      </c>
      <c r="C38" s="139">
        <f t="shared" si="2"/>
        <v>30852480.487410486</v>
      </c>
      <c r="D38" s="139">
        <f t="shared" si="1"/>
        <v>1469165.7374957399</v>
      </c>
      <c r="E38" s="139">
        <f>Tabla25Amortizacion[[#This Row],[Saldo]]*$C$6</f>
        <v>377942.88597077841</v>
      </c>
      <c r="F38" s="139">
        <f t="shared" si="0"/>
        <v>84623.94647975461</v>
      </c>
      <c r="G38" s="139">
        <f>Tabla25Amortizacion[[#This Row],[Abono a capital]]+Tabla25Amortizacion[[#This Row],[Interés]]+Tabla25Amortizacion[[#This Row],[Seguro]]</f>
        <v>1931732.5699462728</v>
      </c>
      <c r="H38" s="20"/>
      <c r="I38" s="33"/>
      <c r="J38" s="33"/>
      <c r="K38" s="33"/>
      <c r="L38" s="20"/>
    </row>
    <row r="39" spans="1:12" ht="15.75" x14ac:dyDescent="0.25">
      <c r="A39" s="15"/>
      <c r="B39" s="137" t="s">
        <v>438</v>
      </c>
      <c r="C39" s="139">
        <f t="shared" si="2"/>
        <v>29383314.749914747</v>
      </c>
      <c r="D39" s="139">
        <f t="shared" si="1"/>
        <v>1469165.7374957399</v>
      </c>
      <c r="E39" s="139">
        <f>Tabla25Amortizacion[[#This Row],[Saldo]]*$C$6</f>
        <v>359945.60568645562</v>
      </c>
      <c r="F39" s="139">
        <f t="shared" si="0"/>
        <v>84623.94647975461</v>
      </c>
      <c r="G39" s="139">
        <f>Tabla25Amortizacion[[#This Row],[Abono a capital]]+Tabla25Amortizacion[[#This Row],[Interés]]+Tabla25Amortizacion[[#This Row],[Seguro]]</f>
        <v>1913735.28966195</v>
      </c>
      <c r="H39" s="20"/>
      <c r="I39" s="33"/>
      <c r="J39" s="33"/>
      <c r="K39" s="33"/>
      <c r="L39" s="20"/>
    </row>
    <row r="40" spans="1:12" ht="15.75" x14ac:dyDescent="0.25">
      <c r="A40" s="15"/>
      <c r="B40" s="137" t="s">
        <v>439</v>
      </c>
      <c r="C40" s="139">
        <f t="shared" si="2"/>
        <v>27914149.012419008</v>
      </c>
      <c r="D40" s="139">
        <f t="shared" si="1"/>
        <v>1469165.7374957399</v>
      </c>
      <c r="E40" s="139">
        <f>Tabla25Amortizacion[[#This Row],[Saldo]]*$C$6</f>
        <v>341948.32540213282</v>
      </c>
      <c r="F40" s="139">
        <f t="shared" si="0"/>
        <v>84623.94647975461</v>
      </c>
      <c r="G40" s="139">
        <f>Tabla25Amortizacion[[#This Row],[Abono a capital]]+Tabla25Amortizacion[[#This Row],[Interés]]+Tabla25Amortizacion[[#This Row],[Seguro]]</f>
        <v>1895738.0093776272</v>
      </c>
      <c r="H40" s="20"/>
      <c r="I40" s="33"/>
      <c r="J40" s="33"/>
      <c r="K40" s="33"/>
      <c r="L40" s="20"/>
    </row>
    <row r="41" spans="1:12" ht="15.75" x14ac:dyDescent="0.25">
      <c r="A41" s="15"/>
      <c r="B41" s="137" t="s">
        <v>440</v>
      </c>
      <c r="C41" s="139">
        <f t="shared" si="2"/>
        <v>26444983.274923269</v>
      </c>
      <c r="D41" s="139">
        <f t="shared" si="1"/>
        <v>1469165.7374957399</v>
      </c>
      <c r="E41" s="139">
        <f>Tabla25Amortizacion[[#This Row],[Saldo]]*$C$6</f>
        <v>323951.04511781002</v>
      </c>
      <c r="F41" s="139">
        <f t="shared" si="0"/>
        <v>84623.94647975461</v>
      </c>
      <c r="G41" s="139">
        <f>Tabla25Amortizacion[[#This Row],[Abono a capital]]+Tabla25Amortizacion[[#This Row],[Interés]]+Tabla25Amortizacion[[#This Row],[Seguro]]</f>
        <v>1877740.7290933044</v>
      </c>
      <c r="H41" s="20"/>
      <c r="I41" s="33"/>
      <c r="J41" s="33"/>
      <c r="K41" s="33"/>
      <c r="L41" s="20"/>
    </row>
    <row r="42" spans="1:12" ht="15.75" x14ac:dyDescent="0.25">
      <c r="A42" s="15"/>
      <c r="B42" s="137" t="s">
        <v>441</v>
      </c>
      <c r="C42" s="139">
        <f>C41-D41</f>
        <v>24975817.53742753</v>
      </c>
      <c r="D42" s="139">
        <f t="shared" si="1"/>
        <v>1469165.7374957399</v>
      </c>
      <c r="E42" s="139">
        <f>Tabla25Amortizacion[[#This Row],[Saldo]]*$C$6</f>
        <v>305953.76483348722</v>
      </c>
      <c r="F42" s="139">
        <f t="shared" si="0"/>
        <v>84623.94647975461</v>
      </c>
      <c r="G42" s="139">
        <f>Tabla25Amortizacion[[#This Row],[Abono a capital]]+Tabla25Amortizacion[[#This Row],[Interés]]+Tabla25Amortizacion[[#This Row],[Seguro]]</f>
        <v>1859743.4488089816</v>
      </c>
      <c r="H42" s="20"/>
      <c r="I42" s="33"/>
      <c r="J42" s="33"/>
      <c r="K42" s="33"/>
      <c r="L42" s="20"/>
    </row>
    <row r="43" spans="1:12" ht="15.75" x14ac:dyDescent="0.25">
      <c r="A43" s="15"/>
      <c r="B43" s="137" t="s">
        <v>442</v>
      </c>
      <c r="C43" s="139">
        <f t="shared" si="2"/>
        <v>23506651.799931791</v>
      </c>
      <c r="D43" s="139">
        <f t="shared" si="1"/>
        <v>1469165.7374957399</v>
      </c>
      <c r="E43" s="139">
        <f>Tabla25Amortizacion[[#This Row],[Saldo]]*$C$6</f>
        <v>287956.48454916442</v>
      </c>
      <c r="F43" s="139">
        <f t="shared" ref="F43:F59" si="3">$C$8</f>
        <v>84623.94647975461</v>
      </c>
      <c r="G43" s="139">
        <f>Tabla25Amortizacion[[#This Row],[Abono a capital]]+Tabla25Amortizacion[[#This Row],[Interés]]+Tabla25Amortizacion[[#This Row],[Seguro]]</f>
        <v>1841746.1685246588</v>
      </c>
      <c r="H43" s="20"/>
      <c r="I43" s="33"/>
      <c r="J43" s="33"/>
      <c r="K43" s="33"/>
      <c r="L43" s="20"/>
    </row>
    <row r="44" spans="1:12" ht="16.5" thickBot="1" x14ac:dyDescent="0.3">
      <c r="A44" s="15"/>
      <c r="B44" s="137" t="s">
        <v>443</v>
      </c>
      <c r="C44" s="139">
        <f t="shared" si="2"/>
        <v>22037486.062436052</v>
      </c>
      <c r="D44" s="139">
        <f t="shared" si="1"/>
        <v>1469165.7374957399</v>
      </c>
      <c r="E44" s="139">
        <f>Tabla25Amortizacion[[#This Row],[Saldo]]*$C$6</f>
        <v>269959.20426484162</v>
      </c>
      <c r="F44" s="139">
        <f t="shared" si="3"/>
        <v>84623.94647975461</v>
      </c>
      <c r="G44" s="139">
        <f>Tabla25Amortizacion[[#This Row],[Abono a capital]]+Tabla25Amortizacion[[#This Row],[Interés]]+Tabla25Amortizacion[[#This Row],[Seguro]]</f>
        <v>1823748.888240336</v>
      </c>
      <c r="H44" s="20"/>
      <c r="I44" s="33"/>
      <c r="J44" s="33"/>
      <c r="K44" s="33"/>
      <c r="L44" s="20"/>
    </row>
    <row r="45" spans="1:12" ht="15.75" x14ac:dyDescent="0.25">
      <c r="A45" s="15"/>
      <c r="B45" s="137" t="s">
        <v>444</v>
      </c>
      <c r="C45" s="139">
        <f t="shared" si="2"/>
        <v>20568320.324940313</v>
      </c>
      <c r="D45" s="139">
        <f t="shared" si="1"/>
        <v>1469165.7374957399</v>
      </c>
      <c r="E45" s="139">
        <f>Tabla25Amortizacion[[#This Row],[Saldo]]*$C$6</f>
        <v>251961.9239805188</v>
      </c>
      <c r="F45" s="139">
        <f t="shared" si="3"/>
        <v>84623.94647975461</v>
      </c>
      <c r="G45" s="139">
        <f>Tabla25Amortizacion[[#This Row],[Abono a capital]]+Tabla25Amortizacion[[#This Row],[Interés]]+Tabla25Amortizacion[[#This Row],[Seguro]]</f>
        <v>1805751.6079560132</v>
      </c>
      <c r="H45" s="210" t="s">
        <v>419</v>
      </c>
      <c r="I45" s="36" t="s">
        <v>405</v>
      </c>
      <c r="J45" s="36" t="s">
        <v>406</v>
      </c>
      <c r="K45" s="37" t="s">
        <v>420</v>
      </c>
      <c r="L45" s="20"/>
    </row>
    <row r="46" spans="1:12" ht="16.5" thickBot="1" x14ac:dyDescent="0.3">
      <c r="A46" s="15"/>
      <c r="B46" s="137" t="s">
        <v>445</v>
      </c>
      <c r="C46" s="139">
        <f t="shared" si="2"/>
        <v>19099154.587444574</v>
      </c>
      <c r="D46" s="139">
        <f t="shared" si="1"/>
        <v>1469165.7374957399</v>
      </c>
      <c r="E46" s="139">
        <f>Tabla25Amortizacion[[#This Row],[Saldo]]*$C$6</f>
        <v>233964.643696196</v>
      </c>
      <c r="F46" s="139">
        <f t="shared" si="3"/>
        <v>84623.94647975461</v>
      </c>
      <c r="G46" s="139">
        <f>Tabla25Amortizacion[[#This Row],[Abono a capital]]+Tabla25Amortizacion[[#This Row],[Interés]]+Tabla25Amortizacion[[#This Row],[Seguro]]</f>
        <v>1787754.3276716904</v>
      </c>
      <c r="H46" s="211">
        <f>SUM(D35:D46)</f>
        <v>17629988.849948876</v>
      </c>
      <c r="I46" s="53">
        <f>SUM(E35:E46)</f>
        <v>3995396.2231196561</v>
      </c>
      <c r="J46" s="53">
        <f>SUM(F35:F46)</f>
        <v>1015487.3577570555</v>
      </c>
      <c r="K46" s="54">
        <f>I46+J46</f>
        <v>5010883.5808767118</v>
      </c>
      <c r="L46" s="20">
        <f>SUM(G35:G46)</f>
        <v>22640872.430825591</v>
      </c>
    </row>
    <row r="47" spans="1:12" ht="15.75" x14ac:dyDescent="0.25">
      <c r="A47" s="15"/>
      <c r="B47" s="137" t="s">
        <v>446</v>
      </c>
      <c r="C47" s="139">
        <f t="shared" si="2"/>
        <v>17629988.849948835</v>
      </c>
      <c r="D47" s="139">
        <f t="shared" si="1"/>
        <v>1469165.7374957399</v>
      </c>
      <c r="E47" s="139">
        <f>Tabla25Amortizacion[[#This Row],[Saldo]]*$C$6</f>
        <v>215967.3634118732</v>
      </c>
      <c r="F47" s="139">
        <f t="shared" si="3"/>
        <v>84623.94647975461</v>
      </c>
      <c r="G47" s="139">
        <f>Tabla25Amortizacion[[#This Row],[Abono a capital]]+Tabla25Amortizacion[[#This Row],[Interés]]+Tabla25Amortizacion[[#This Row],[Seguro]]</f>
        <v>1769757.0473873676</v>
      </c>
      <c r="H47" s="20"/>
      <c r="I47" s="33"/>
      <c r="J47" s="33"/>
      <c r="K47" s="33"/>
      <c r="L47" s="20"/>
    </row>
    <row r="48" spans="1:12" ht="15.75" x14ac:dyDescent="0.25">
      <c r="A48" s="15"/>
      <c r="B48" s="137" t="s">
        <v>447</v>
      </c>
      <c r="C48" s="139">
        <f t="shared" si="2"/>
        <v>16160823.112453096</v>
      </c>
      <c r="D48" s="139">
        <f t="shared" si="1"/>
        <v>1469165.7374957399</v>
      </c>
      <c r="E48" s="139">
        <f>Tabla25Amortizacion[[#This Row],[Saldo]]*$C$6</f>
        <v>197970.0831275504</v>
      </c>
      <c r="F48" s="139">
        <f t="shared" si="3"/>
        <v>84623.94647975461</v>
      </c>
      <c r="G48" s="139">
        <f>Tabla25Amortizacion[[#This Row],[Abono a capital]]+Tabla25Amortizacion[[#This Row],[Interés]]+Tabla25Amortizacion[[#This Row],[Seguro]]</f>
        <v>1751759.7671030448</v>
      </c>
      <c r="H48" s="20"/>
      <c r="I48" s="33"/>
      <c r="J48" s="33"/>
      <c r="K48" s="33"/>
      <c r="L48" s="20"/>
    </row>
    <row r="49" spans="1:12" ht="15.75" x14ac:dyDescent="0.25">
      <c r="A49" s="15"/>
      <c r="B49" s="137" t="s">
        <v>448</v>
      </c>
      <c r="C49" s="139">
        <f t="shared" si="2"/>
        <v>14691657.374957357</v>
      </c>
      <c r="D49" s="139">
        <f t="shared" si="1"/>
        <v>1469165.7374957399</v>
      </c>
      <c r="E49" s="139">
        <f>Tabla25Amortizacion[[#This Row],[Saldo]]*$C$6</f>
        <v>179972.8028432276</v>
      </c>
      <c r="F49" s="139">
        <f t="shared" si="3"/>
        <v>84623.94647975461</v>
      </c>
      <c r="G49" s="139">
        <f>Tabla25Amortizacion[[#This Row],[Abono a capital]]+Tabla25Amortizacion[[#This Row],[Interés]]+Tabla25Amortizacion[[#This Row],[Seguro]]</f>
        <v>1733762.486818722</v>
      </c>
      <c r="H49" s="20"/>
      <c r="I49" s="33"/>
      <c r="J49" s="33"/>
      <c r="K49" s="33"/>
      <c r="L49" s="20"/>
    </row>
    <row r="50" spans="1:12" ht="15.75" x14ac:dyDescent="0.25">
      <c r="A50" s="15"/>
      <c r="B50" s="137" t="s">
        <v>449</v>
      </c>
      <c r="C50" s="139">
        <f t="shared" si="2"/>
        <v>13222491.637461618</v>
      </c>
      <c r="D50" s="139">
        <f t="shared" si="1"/>
        <v>1469165.7374957399</v>
      </c>
      <c r="E50" s="139">
        <f>Tabla25Amortizacion[[#This Row],[Saldo]]*$C$6</f>
        <v>161975.52255890481</v>
      </c>
      <c r="F50" s="139">
        <f t="shared" si="3"/>
        <v>84623.94647975461</v>
      </c>
      <c r="G50" s="139">
        <f>Tabla25Amortizacion[[#This Row],[Abono a capital]]+Tabla25Amortizacion[[#This Row],[Interés]]+Tabla25Amortizacion[[#This Row],[Seguro]]</f>
        <v>1715765.2065343992</v>
      </c>
      <c r="H50" s="20"/>
      <c r="I50" s="33"/>
      <c r="J50" s="33"/>
      <c r="K50" s="33"/>
      <c r="L50" s="20"/>
    </row>
    <row r="51" spans="1:12" ht="15.75" x14ac:dyDescent="0.25">
      <c r="A51" s="15"/>
      <c r="B51" s="137" t="s">
        <v>450</v>
      </c>
      <c r="C51" s="139">
        <f>C50-D50</f>
        <v>11753325.899965879</v>
      </c>
      <c r="D51" s="139">
        <f t="shared" si="1"/>
        <v>1469165.7374957399</v>
      </c>
      <c r="E51" s="139">
        <f>Tabla25Amortizacion[[#This Row],[Saldo]]*$C$6</f>
        <v>143978.24227458201</v>
      </c>
      <c r="F51" s="139">
        <f t="shared" si="3"/>
        <v>84623.94647975461</v>
      </c>
      <c r="G51" s="139">
        <f>Tabla25Amortizacion[[#This Row],[Abono a capital]]+Tabla25Amortizacion[[#This Row],[Interés]]+Tabla25Amortizacion[[#This Row],[Seguro]]</f>
        <v>1697767.9262500764</v>
      </c>
      <c r="H51" s="20"/>
      <c r="I51" s="33"/>
      <c r="J51" s="33"/>
      <c r="K51" s="33"/>
      <c r="L51" s="20"/>
    </row>
    <row r="52" spans="1:12" ht="15.75" x14ac:dyDescent="0.25">
      <c r="A52" s="15"/>
      <c r="B52" s="137" t="s">
        <v>451</v>
      </c>
      <c r="C52" s="139">
        <f t="shared" si="2"/>
        <v>10284160.16247014</v>
      </c>
      <c r="D52" s="139">
        <f t="shared" si="1"/>
        <v>1469165.7374957399</v>
      </c>
      <c r="E52" s="139">
        <f>Tabla25Amortizacion[[#This Row],[Saldo]]*$C$6</f>
        <v>125980.96199025919</v>
      </c>
      <c r="F52" s="139">
        <f t="shared" si="3"/>
        <v>84623.94647975461</v>
      </c>
      <c r="G52" s="139">
        <f>Tabla25Amortizacion[[#This Row],[Abono a capital]]+Tabla25Amortizacion[[#This Row],[Interés]]+Tabla25Amortizacion[[#This Row],[Seguro]]</f>
        <v>1679770.6459657536</v>
      </c>
      <c r="H52" s="20"/>
      <c r="I52" s="33"/>
      <c r="J52" s="33"/>
      <c r="K52" s="33"/>
      <c r="L52" s="20"/>
    </row>
    <row r="53" spans="1:12" ht="15.75" x14ac:dyDescent="0.25">
      <c r="A53" s="15"/>
      <c r="B53" s="137" t="s">
        <v>452</v>
      </c>
      <c r="C53" s="139">
        <f t="shared" si="2"/>
        <v>8814994.4249744006</v>
      </c>
      <c r="D53" s="139">
        <f t="shared" si="1"/>
        <v>1469165.7374957399</v>
      </c>
      <c r="E53" s="139">
        <f>Tabla25Amortizacion[[#This Row],[Saldo]]*$C$6</f>
        <v>107983.6817059364</v>
      </c>
      <c r="F53" s="139">
        <f t="shared" si="3"/>
        <v>84623.94647975461</v>
      </c>
      <c r="G53" s="139">
        <f>Tabla25Amortizacion[[#This Row],[Abono a capital]]+Tabla25Amortizacion[[#This Row],[Interés]]+Tabla25Amortizacion[[#This Row],[Seguro]]</f>
        <v>1661773.3656814308</v>
      </c>
      <c r="H53" s="20"/>
      <c r="I53" s="33"/>
      <c r="J53" s="33"/>
      <c r="K53" s="33"/>
      <c r="L53" s="20"/>
    </row>
    <row r="54" spans="1:12" ht="15.75" x14ac:dyDescent="0.25">
      <c r="A54" s="15"/>
      <c r="B54" s="137" t="s">
        <v>453</v>
      </c>
      <c r="C54" s="139">
        <f t="shared" si="2"/>
        <v>7345828.6874786606</v>
      </c>
      <c r="D54" s="139">
        <f t="shared" si="1"/>
        <v>1469165.7374957399</v>
      </c>
      <c r="E54" s="139">
        <f>Tabla25Amortizacion[[#This Row],[Saldo]]*$C$6</f>
        <v>89986.401421613584</v>
      </c>
      <c r="F54" s="139">
        <f t="shared" si="3"/>
        <v>84623.94647975461</v>
      </c>
      <c r="G54" s="139">
        <f>Tabla25Amortizacion[[#This Row],[Abono a capital]]+Tabla25Amortizacion[[#This Row],[Interés]]+Tabla25Amortizacion[[#This Row],[Seguro]]</f>
        <v>1643776.085397108</v>
      </c>
      <c r="H54" s="20"/>
      <c r="I54" s="33"/>
      <c r="J54" s="33"/>
      <c r="K54" s="33"/>
      <c r="L54" s="20"/>
    </row>
    <row r="55" spans="1:12" ht="15.75" x14ac:dyDescent="0.25">
      <c r="A55" s="15"/>
      <c r="B55" s="137" t="s">
        <v>454</v>
      </c>
      <c r="C55" s="139">
        <f t="shared" si="2"/>
        <v>5876662.9499829207</v>
      </c>
      <c r="D55" s="139">
        <f t="shared" si="1"/>
        <v>1469165.7374957399</v>
      </c>
      <c r="E55" s="139">
        <f>Tabla25Amortizacion[[#This Row],[Saldo]]*$C$6</f>
        <v>71989.121137290771</v>
      </c>
      <c r="F55" s="139">
        <f t="shared" si="3"/>
        <v>84623.94647975461</v>
      </c>
      <c r="G55" s="139">
        <f>Tabla25Amortizacion[[#This Row],[Abono a capital]]+Tabla25Amortizacion[[#This Row],[Interés]]+Tabla25Amortizacion[[#This Row],[Seguro]]</f>
        <v>1625778.8051127852</v>
      </c>
      <c r="H55" s="20"/>
      <c r="I55" s="33"/>
      <c r="J55" s="33"/>
      <c r="K55" s="33"/>
      <c r="L55" s="20"/>
    </row>
    <row r="56" spans="1:12" ht="16.5" thickBot="1" x14ac:dyDescent="0.3">
      <c r="A56" s="15"/>
      <c r="B56" s="137" t="s">
        <v>455</v>
      </c>
      <c r="C56" s="139">
        <f t="shared" si="2"/>
        <v>4407497.2124871807</v>
      </c>
      <c r="D56" s="139">
        <f t="shared" si="1"/>
        <v>1469165.7374957399</v>
      </c>
      <c r="E56" s="139">
        <f>Tabla25Amortizacion[[#This Row],[Saldo]]*$C$6</f>
        <v>53991.840852967958</v>
      </c>
      <c r="F56" s="139">
        <f t="shared" si="3"/>
        <v>84623.94647975461</v>
      </c>
      <c r="G56" s="139">
        <f>Tabla25Amortizacion[[#This Row],[Abono a capital]]+Tabla25Amortizacion[[#This Row],[Interés]]+Tabla25Amortizacion[[#This Row],[Seguro]]</f>
        <v>1607781.5248284624</v>
      </c>
      <c r="H56" s="20"/>
      <c r="I56" s="33"/>
      <c r="J56" s="33"/>
      <c r="K56" s="33"/>
      <c r="L56" s="20"/>
    </row>
    <row r="57" spans="1:12" ht="15.75" x14ac:dyDescent="0.25">
      <c r="A57" s="15"/>
      <c r="B57" s="137" t="s">
        <v>456</v>
      </c>
      <c r="C57" s="139">
        <f t="shared" si="2"/>
        <v>2938331.4749914408</v>
      </c>
      <c r="D57" s="139">
        <f t="shared" si="1"/>
        <v>1469165.7374957399</v>
      </c>
      <c r="E57" s="139">
        <f>Tabla25Amortizacion[[#This Row],[Saldo]]*$C$6</f>
        <v>35994.560568645145</v>
      </c>
      <c r="F57" s="139">
        <f t="shared" si="3"/>
        <v>84623.94647975461</v>
      </c>
      <c r="G57" s="139">
        <f>Tabla25Amortizacion[[#This Row],[Abono a capital]]+Tabla25Amortizacion[[#This Row],[Interés]]+Tabla25Amortizacion[[#This Row],[Seguro]]</f>
        <v>1589784.2445441396</v>
      </c>
      <c r="H57" s="210" t="s">
        <v>419</v>
      </c>
      <c r="I57" s="36" t="s">
        <v>405</v>
      </c>
      <c r="J57" s="36" t="s">
        <v>406</v>
      </c>
      <c r="K57" s="37" t="s">
        <v>420</v>
      </c>
      <c r="L57" s="20"/>
    </row>
    <row r="58" spans="1:12" ht="16.5" thickBot="1" x14ac:dyDescent="0.3">
      <c r="A58" s="15"/>
      <c r="B58" s="137" t="s">
        <v>457</v>
      </c>
      <c r="C58" s="139">
        <f>C57-D57</f>
        <v>1469165.7374957008</v>
      </c>
      <c r="D58" s="139">
        <f t="shared" si="1"/>
        <v>1469165.7374957399</v>
      </c>
      <c r="E58" s="139">
        <f>Tabla25Amortizacion[[#This Row],[Saldo]]*$C$6</f>
        <v>17997.280284322333</v>
      </c>
      <c r="F58" s="139">
        <f t="shared" si="3"/>
        <v>84623.94647975461</v>
      </c>
      <c r="G58" s="139">
        <f>Tabla25Amortizacion[[#This Row],[Abono a capital]]+Tabla25Amortizacion[[#This Row],[Interés]]+Tabla25Amortizacion[[#This Row],[Seguro]]</f>
        <v>1571786.9642598168</v>
      </c>
      <c r="H58" s="211">
        <f>SUM(D47:D58)</f>
        <v>17629988.849948876</v>
      </c>
      <c r="I58" s="53">
        <f>SUM(E47:E58)</f>
        <v>1403787.8621771734</v>
      </c>
      <c r="J58" s="53">
        <f>SUM(F47:F58)</f>
        <v>1015487.3577570555</v>
      </c>
      <c r="K58" s="54">
        <f>I58+J58</f>
        <v>2419275.2199342288</v>
      </c>
      <c r="L58" s="20">
        <f>SUM(G47:G58)</f>
        <v>20049264.069883108</v>
      </c>
    </row>
    <row r="59" spans="1:12" ht="15.75" x14ac:dyDescent="0.25">
      <c r="A59" s="15"/>
      <c r="B59" s="97" t="s">
        <v>458</v>
      </c>
      <c r="C59" s="100">
        <f>C58-D58</f>
        <v>-3.9115548133850098E-8</v>
      </c>
      <c r="D59" s="100">
        <f>Tabla25Amortizacion[[#This Row],[Saldo]]/$C$7</f>
        <v>-8.149072527885437E-10</v>
      </c>
      <c r="E59" s="100">
        <f>Tabla25Amortizacion[[#This Row],[Saldo]]*$C$6</f>
        <v>-4.7916546463966366E-10</v>
      </c>
      <c r="F59" s="100">
        <f t="shared" si="3"/>
        <v>84623.94647975461</v>
      </c>
      <c r="G59" s="100">
        <f>Tabla25Amortizacion[[#This Row],[Abono a capital]]+Tabla25Amortizacion[[#This Row],[Interés]]+Tabla25Amortizacion[[#This Row],[Seguro]]</f>
        <v>84623.946479753315</v>
      </c>
      <c r="H59" s="20"/>
      <c r="I59" s="33"/>
      <c r="J59" s="33"/>
      <c r="K59" s="33"/>
      <c r="L59" s="20"/>
    </row>
    <row r="60" spans="1:12" ht="15.75" x14ac:dyDescent="0.25">
      <c r="A60" s="15"/>
      <c r="B60" s="45"/>
      <c r="C60" s="45"/>
      <c r="D60" s="45"/>
      <c r="E60" s="45"/>
      <c r="F60" s="45"/>
      <c r="G60" s="45"/>
      <c r="H60" s="20"/>
      <c r="I60" s="33"/>
      <c r="J60" s="33"/>
      <c r="K60" s="33"/>
      <c r="L60" s="20"/>
    </row>
    <row r="61" spans="1:12" ht="15.75" x14ac:dyDescent="0.25">
      <c r="A61" s="15"/>
      <c r="B61" s="45"/>
      <c r="C61" s="45"/>
      <c r="D61" s="45"/>
      <c r="E61" s="45"/>
      <c r="F61" s="45"/>
      <c r="G61" s="45"/>
      <c r="H61" s="20"/>
      <c r="I61" s="33"/>
      <c r="J61" s="33"/>
      <c r="K61" s="33"/>
      <c r="L61" s="20"/>
    </row>
    <row r="62" spans="1:12" ht="15.75" x14ac:dyDescent="0.25">
      <c r="A62" s="15"/>
      <c r="B62" s="45"/>
      <c r="C62" s="45"/>
      <c r="D62" s="45"/>
      <c r="E62" s="45"/>
      <c r="F62" s="45"/>
      <c r="G62" s="45"/>
      <c r="H62" s="20"/>
      <c r="I62" s="33"/>
      <c r="J62" s="33"/>
      <c r="K62" s="33"/>
      <c r="L62" s="20"/>
    </row>
    <row r="63" spans="1:12" ht="15.75" x14ac:dyDescent="0.25">
      <c r="A63" s="15"/>
      <c r="B63" s="45"/>
      <c r="C63" s="45"/>
      <c r="D63" s="45"/>
      <c r="E63" s="45"/>
      <c r="F63" s="45"/>
      <c r="G63" s="45"/>
      <c r="H63" s="20"/>
      <c r="I63" s="33"/>
      <c r="J63" s="33"/>
      <c r="K63" s="33"/>
      <c r="L63" s="20"/>
    </row>
    <row r="64" spans="1:12" ht="15.75" x14ac:dyDescent="0.25">
      <c r="A64" s="15"/>
      <c r="B64" s="45"/>
      <c r="C64" s="45"/>
      <c r="D64" s="45"/>
      <c r="E64" s="45"/>
      <c r="F64" s="45"/>
      <c r="G64" s="45"/>
      <c r="H64" s="20"/>
      <c r="I64" s="33"/>
      <c r="J64" s="33"/>
      <c r="K64" s="33"/>
      <c r="L64" s="20"/>
    </row>
    <row r="65" spans="1:12" ht="15.75" x14ac:dyDescent="0.25">
      <c r="A65" s="15"/>
      <c r="B65" s="45"/>
      <c r="C65" s="45"/>
      <c r="D65" s="45"/>
      <c r="E65" s="45"/>
      <c r="F65" s="45"/>
      <c r="G65" s="45"/>
      <c r="H65" s="20"/>
      <c r="I65" s="33"/>
      <c r="J65" s="33"/>
      <c r="K65" s="33"/>
      <c r="L65" s="20"/>
    </row>
    <row r="66" spans="1:12" ht="15.75" x14ac:dyDescent="0.25">
      <c r="A66" s="15"/>
      <c r="B66" s="45"/>
      <c r="C66" s="45"/>
      <c r="D66" s="45"/>
      <c r="E66" s="45"/>
      <c r="F66" s="45"/>
      <c r="G66" s="45"/>
      <c r="H66" s="20"/>
      <c r="I66" s="33"/>
      <c r="J66" s="33"/>
      <c r="K66" s="33"/>
      <c r="L66" s="20"/>
    </row>
    <row r="67" spans="1:12" ht="15.75" x14ac:dyDescent="0.25">
      <c r="A67" s="15"/>
      <c r="B67" s="45"/>
      <c r="C67" s="45"/>
      <c r="D67" s="45"/>
      <c r="E67" s="45"/>
      <c r="F67" s="45"/>
      <c r="G67" s="45"/>
      <c r="H67" s="20"/>
      <c r="I67" s="33"/>
      <c r="J67" s="33"/>
      <c r="K67" s="33"/>
      <c r="L67" s="20"/>
    </row>
    <row r="68" spans="1:12" ht="16.5" thickBot="1" x14ac:dyDescent="0.3">
      <c r="A68" s="15"/>
      <c r="B68" s="45"/>
      <c r="C68" s="45"/>
      <c r="D68" s="45"/>
      <c r="E68" s="45"/>
      <c r="F68" s="45"/>
      <c r="G68" s="45"/>
      <c r="H68" s="20"/>
      <c r="I68" s="33"/>
      <c r="J68" s="33"/>
      <c r="K68" s="33"/>
      <c r="L68" s="20"/>
    </row>
    <row r="69" spans="1:12" ht="15.75" x14ac:dyDescent="0.25">
      <c r="A69" s="15"/>
      <c r="B69" s="45"/>
      <c r="C69" s="45"/>
      <c r="D69" s="45"/>
      <c r="E69" s="45"/>
      <c r="F69" s="45"/>
      <c r="G69" s="45"/>
      <c r="H69" s="35" t="s">
        <v>419</v>
      </c>
      <c r="I69" s="36" t="s">
        <v>405</v>
      </c>
      <c r="J69" s="36" t="s">
        <v>406</v>
      </c>
      <c r="K69" s="37" t="s">
        <v>420</v>
      </c>
      <c r="L69" s="20"/>
    </row>
    <row r="70" spans="1:12" ht="16.5" thickBot="1" x14ac:dyDescent="0.3">
      <c r="A70" s="15"/>
      <c r="B70" s="45"/>
      <c r="C70" s="45"/>
      <c r="D70" s="45"/>
      <c r="E70" s="45"/>
      <c r="F70" s="45"/>
      <c r="G70" s="45"/>
      <c r="H70" s="38">
        <f>SUM(D59:D70)</f>
        <v>-8.149072527885437E-10</v>
      </c>
      <c r="I70" s="39">
        <f>SUM(E59:E70)</f>
        <v>-4.7916546463966366E-10</v>
      </c>
      <c r="J70" s="39">
        <f>SUM(F59:F70)</f>
        <v>84623.94647975461</v>
      </c>
      <c r="K70" s="40">
        <f>I70+J70</f>
        <v>84623.94647975413</v>
      </c>
      <c r="L70" s="20">
        <f>SUM(G59:G70)</f>
        <v>84623.946479753315</v>
      </c>
    </row>
    <row r="71" spans="1:12" ht="15.75" x14ac:dyDescent="0.25">
      <c r="A71" s="15"/>
      <c r="B71" s="15"/>
      <c r="C71" s="20"/>
      <c r="D71" s="20"/>
      <c r="E71" s="20"/>
      <c r="F71" s="20"/>
      <c r="G71" s="20"/>
      <c r="H71" s="20"/>
      <c r="I71" s="33"/>
      <c r="J71" s="33"/>
      <c r="K71" s="33"/>
      <c r="L71" s="20"/>
    </row>
    <row r="72" spans="1:12" ht="15.75" x14ac:dyDescent="0.25">
      <c r="A72" s="15"/>
      <c r="B72" s="15"/>
      <c r="C72" s="20"/>
      <c r="D72" s="20"/>
      <c r="E72" s="20"/>
      <c r="F72" s="20"/>
      <c r="G72" s="20"/>
      <c r="H72" s="20"/>
      <c r="I72" s="33"/>
      <c r="J72" s="33"/>
      <c r="K72" s="33"/>
      <c r="L72" s="20"/>
    </row>
    <row r="73" spans="1:12" ht="15.75" x14ac:dyDescent="0.25">
      <c r="A73" s="15"/>
      <c r="B73" s="15"/>
      <c r="C73" s="20"/>
      <c r="D73" s="20"/>
      <c r="E73" s="20"/>
      <c r="F73" s="20"/>
      <c r="G73" s="20"/>
      <c r="H73" s="20"/>
      <c r="I73" s="33"/>
      <c r="J73" s="33"/>
      <c r="K73" s="33"/>
      <c r="L73" s="20"/>
    </row>
    <row r="74" spans="1:12" ht="15.75" x14ac:dyDescent="0.25">
      <c r="A74" s="15"/>
      <c r="B74" s="15"/>
      <c r="C74" s="20"/>
      <c r="D74" s="20"/>
      <c r="E74" s="20"/>
      <c r="F74" s="20"/>
      <c r="G74" s="20"/>
      <c r="H74" s="20"/>
      <c r="I74" s="33"/>
      <c r="J74" s="33"/>
      <c r="K74" s="33"/>
      <c r="L74" s="20"/>
    </row>
    <row r="75" spans="1:12" ht="15.75" x14ac:dyDescent="0.25">
      <c r="A75" s="15"/>
      <c r="B75" s="15"/>
      <c r="C75" s="20"/>
      <c r="D75" s="20"/>
      <c r="E75" s="20"/>
      <c r="F75" s="20"/>
      <c r="G75" s="20"/>
      <c r="H75" s="20"/>
      <c r="I75" s="33"/>
      <c r="J75" s="33"/>
      <c r="K75" s="33"/>
      <c r="L75" s="20"/>
    </row>
    <row r="76" spans="1:12" ht="15.75" x14ac:dyDescent="0.25">
      <c r="A76" s="15"/>
      <c r="B76" s="15"/>
      <c r="C76" s="20"/>
      <c r="D76" s="20"/>
      <c r="E76" s="20"/>
      <c r="F76" s="20"/>
      <c r="G76" s="20"/>
      <c r="H76" s="20"/>
      <c r="I76" s="33"/>
      <c r="J76" s="33"/>
      <c r="K76" s="33"/>
      <c r="L76" s="20"/>
    </row>
    <row r="77" spans="1:12" ht="15.75" x14ac:dyDescent="0.25">
      <c r="A77" s="15"/>
      <c r="B77" s="15"/>
      <c r="C77" s="20"/>
      <c r="D77" s="20"/>
      <c r="E77" s="20"/>
      <c r="F77" s="20"/>
      <c r="G77" s="20"/>
      <c r="H77" s="20"/>
      <c r="I77" s="33"/>
      <c r="J77" s="33"/>
      <c r="K77" s="33"/>
      <c r="L77" s="20"/>
    </row>
    <row r="78" spans="1:12" ht="15.75" x14ac:dyDescent="0.25">
      <c r="A78" s="15"/>
      <c r="B78" s="15"/>
      <c r="C78" s="20"/>
      <c r="D78" s="20"/>
      <c r="E78" s="20"/>
      <c r="F78" s="20"/>
      <c r="G78" s="20"/>
      <c r="H78" s="20"/>
      <c r="I78" s="33"/>
      <c r="J78" s="33"/>
      <c r="K78" s="33"/>
      <c r="L78" s="20"/>
    </row>
    <row r="79" spans="1:12" ht="15.75" x14ac:dyDescent="0.25">
      <c r="A79" s="15"/>
      <c r="B79" s="15"/>
      <c r="C79" s="20"/>
      <c r="D79" s="20"/>
      <c r="E79" s="20"/>
      <c r="F79" s="20"/>
      <c r="G79" s="20"/>
      <c r="H79" s="20"/>
      <c r="I79" s="33"/>
      <c r="J79" s="33"/>
      <c r="K79" s="33"/>
      <c r="L79" s="20"/>
    </row>
    <row r="80" spans="1:12" ht="15.75" x14ac:dyDescent="0.25">
      <c r="A80" s="15"/>
      <c r="B80" s="15"/>
      <c r="C80" s="20"/>
      <c r="D80" s="20"/>
      <c r="E80" s="20"/>
      <c r="F80" s="20"/>
      <c r="G80" s="20"/>
      <c r="H80" s="20"/>
      <c r="I80" s="33"/>
      <c r="J80" s="33"/>
      <c r="K80" s="33"/>
      <c r="L80" s="20"/>
    </row>
    <row r="81" spans="1:12" ht="15.75" x14ac:dyDescent="0.25">
      <c r="A81" s="15"/>
      <c r="B81" s="15"/>
      <c r="C81" s="20"/>
      <c r="D81" s="20"/>
      <c r="E81" s="20"/>
      <c r="F81" s="20"/>
      <c r="G81" s="20"/>
      <c r="H81" s="20"/>
      <c r="I81" s="33"/>
      <c r="J81" s="33"/>
      <c r="K81" s="33"/>
      <c r="L81" s="20"/>
    </row>
    <row r="82" spans="1:12" ht="15.75" x14ac:dyDescent="0.25">
      <c r="A82" s="15"/>
      <c r="B82" s="15"/>
      <c r="C82" s="20"/>
      <c r="D82" s="20"/>
      <c r="E82" s="20"/>
      <c r="F82" s="20"/>
      <c r="G82" s="20"/>
      <c r="H82" s="20"/>
      <c r="I82" s="33"/>
      <c r="J82" s="33"/>
      <c r="K82" s="33"/>
      <c r="L82" s="20"/>
    </row>
    <row r="83" spans="1:12" ht="15.75" x14ac:dyDescent="0.25">
      <c r="A83" s="15"/>
      <c r="B83" s="15"/>
      <c r="C83" s="20"/>
      <c r="D83" s="20"/>
      <c r="E83" s="20"/>
      <c r="F83" s="20"/>
      <c r="G83" s="20"/>
      <c r="H83" s="20"/>
      <c r="I83" s="33"/>
      <c r="J83" s="33"/>
      <c r="K83" s="33"/>
      <c r="L83" s="20"/>
    </row>
    <row r="84" spans="1:12" ht="15.75" x14ac:dyDescent="0.25">
      <c r="A84" s="15"/>
      <c r="B84" s="15"/>
      <c r="C84" s="20"/>
      <c r="D84" s="20"/>
      <c r="E84" s="20"/>
      <c r="F84" s="20"/>
      <c r="G84" s="20"/>
      <c r="H84" s="20"/>
      <c r="I84" s="33"/>
      <c r="J84" s="33"/>
      <c r="K84" s="33"/>
      <c r="L84" s="20"/>
    </row>
    <row r="85" spans="1:12" ht="15.75" x14ac:dyDescent="0.25">
      <c r="A85" s="15"/>
      <c r="B85" s="15"/>
      <c r="C85" s="20"/>
      <c r="D85" s="20"/>
      <c r="E85" s="20"/>
      <c r="F85" s="20"/>
      <c r="G85" s="20"/>
      <c r="H85" s="20"/>
      <c r="I85" s="33"/>
      <c r="J85" s="33"/>
      <c r="K85" s="33"/>
      <c r="L85" s="20"/>
    </row>
    <row r="86" spans="1:12" ht="15.75" x14ac:dyDescent="0.25">
      <c r="A86" s="15"/>
      <c r="B86" s="15"/>
      <c r="C86" s="20"/>
      <c r="D86" s="20"/>
      <c r="E86" s="20"/>
      <c r="F86" s="20"/>
      <c r="G86" s="20"/>
      <c r="H86" s="20"/>
      <c r="I86" s="33"/>
      <c r="J86" s="33"/>
      <c r="K86" s="33"/>
      <c r="L86" s="20"/>
    </row>
    <row r="87" spans="1:12" ht="15.75" x14ac:dyDescent="0.25">
      <c r="A87" s="15"/>
      <c r="B87" s="15"/>
      <c r="C87" s="20"/>
      <c r="D87" s="20"/>
      <c r="E87" s="20"/>
      <c r="F87" s="20"/>
      <c r="G87" s="20"/>
      <c r="H87" s="20"/>
      <c r="I87" s="33"/>
      <c r="J87" s="33"/>
      <c r="K87" s="33"/>
      <c r="L87" s="20"/>
    </row>
    <row r="88" spans="1:12" ht="15.75" x14ac:dyDescent="0.25">
      <c r="A88" s="15"/>
      <c r="B88" s="15"/>
      <c r="C88" s="20"/>
      <c r="D88" s="20"/>
      <c r="E88" s="20"/>
      <c r="F88" s="20"/>
      <c r="G88" s="20"/>
      <c r="H88" s="20"/>
      <c r="I88" s="33"/>
      <c r="J88" s="33"/>
      <c r="K88" s="33"/>
      <c r="L88" s="20"/>
    </row>
    <row r="89" spans="1:12" ht="15.75" x14ac:dyDescent="0.25">
      <c r="A89" s="15"/>
      <c r="B89" s="15"/>
      <c r="C89" s="20"/>
      <c r="D89" s="20"/>
      <c r="E89" s="20"/>
      <c r="F89" s="20"/>
      <c r="G89" s="20"/>
      <c r="H89" s="20"/>
      <c r="I89" s="33"/>
      <c r="J89" s="33"/>
      <c r="K89" s="33"/>
      <c r="L89" s="20"/>
    </row>
    <row r="90" spans="1:12" ht="15.75" x14ac:dyDescent="0.25">
      <c r="A90" s="15"/>
      <c r="B90" s="15"/>
      <c r="C90" s="20"/>
      <c r="D90" s="20"/>
      <c r="E90" s="20"/>
      <c r="F90" s="20"/>
      <c r="G90" s="20"/>
      <c r="H90" s="20"/>
      <c r="I90" s="33"/>
      <c r="J90" s="33"/>
      <c r="K90" s="33"/>
      <c r="L90" s="20"/>
    </row>
    <row r="91" spans="1:12" ht="15.75" x14ac:dyDescent="0.25">
      <c r="A91" s="15"/>
      <c r="B91" s="15"/>
      <c r="C91" s="20"/>
      <c r="D91" s="20"/>
      <c r="E91" s="20"/>
      <c r="F91" s="20"/>
      <c r="G91" s="20"/>
      <c r="H91" s="20"/>
      <c r="I91" s="33"/>
      <c r="J91" s="33"/>
      <c r="K91" s="33"/>
      <c r="L91" s="20"/>
    </row>
    <row r="92" spans="1:12" ht="15.75" x14ac:dyDescent="0.25">
      <c r="A92" s="15"/>
      <c r="B92" s="15"/>
      <c r="C92" s="20"/>
      <c r="D92" s="20"/>
      <c r="E92" s="20"/>
      <c r="F92" s="20"/>
      <c r="G92" s="20"/>
      <c r="H92" s="20"/>
      <c r="I92" s="33"/>
      <c r="J92" s="33"/>
      <c r="K92" s="33"/>
      <c r="L92" s="20"/>
    </row>
    <row r="93" spans="1:12" ht="15.75" x14ac:dyDescent="0.25">
      <c r="A93" s="15"/>
      <c r="B93" s="15"/>
      <c r="C93" s="20"/>
      <c r="D93" s="20"/>
      <c r="E93" s="20"/>
      <c r="F93" s="20"/>
      <c r="G93" s="20"/>
      <c r="H93" s="20"/>
      <c r="I93" s="33"/>
      <c r="J93" s="33"/>
      <c r="K93" s="33"/>
      <c r="L93" s="20"/>
    </row>
    <row r="94" spans="1:12" ht="15.75" x14ac:dyDescent="0.25">
      <c r="A94" s="15"/>
      <c r="B94" s="15"/>
      <c r="C94" s="20"/>
      <c r="D94" s="20"/>
      <c r="E94" s="20"/>
      <c r="F94" s="20"/>
      <c r="G94" s="20"/>
      <c r="H94" s="20"/>
      <c r="I94" s="33"/>
      <c r="J94" s="33"/>
      <c r="K94" s="33"/>
      <c r="L94" s="20"/>
    </row>
    <row r="95" spans="1:12" ht="15.75" x14ac:dyDescent="0.25">
      <c r="A95" s="15"/>
      <c r="B95" s="15"/>
      <c r="C95" s="20"/>
      <c r="D95" s="20"/>
      <c r="E95" s="20"/>
      <c r="F95" s="20"/>
      <c r="G95" s="20"/>
      <c r="H95" s="20"/>
      <c r="I95" s="33"/>
      <c r="J95" s="33"/>
      <c r="K95" s="33"/>
      <c r="L95" s="20"/>
    </row>
    <row r="96" spans="1:12" ht="15.75" x14ac:dyDescent="0.25">
      <c r="A96" s="15"/>
      <c r="B96" s="15"/>
      <c r="C96" s="20"/>
      <c r="D96" s="20"/>
      <c r="E96" s="20"/>
      <c r="F96" s="20"/>
      <c r="G96" s="20"/>
      <c r="H96" s="20"/>
      <c r="I96" s="33"/>
      <c r="J96" s="33"/>
      <c r="K96" s="33"/>
      <c r="L96" s="20"/>
    </row>
    <row r="97" spans="1:12" ht="15.75" x14ac:dyDescent="0.25">
      <c r="A97" s="15"/>
      <c r="B97" s="15"/>
      <c r="C97" s="20"/>
      <c r="D97" s="20"/>
      <c r="E97" s="20"/>
      <c r="F97" s="20"/>
      <c r="G97" s="20"/>
      <c r="H97" s="20"/>
      <c r="I97" s="33"/>
      <c r="J97" s="33"/>
      <c r="K97" s="33"/>
      <c r="L97" s="20"/>
    </row>
    <row r="98" spans="1:12" ht="15.75" x14ac:dyDescent="0.25">
      <c r="A98" s="15"/>
      <c r="B98" s="15"/>
      <c r="C98" s="20"/>
      <c r="D98" s="20"/>
      <c r="E98" s="20"/>
      <c r="F98" s="20"/>
      <c r="G98" s="20"/>
      <c r="H98" s="20"/>
      <c r="I98" s="33"/>
      <c r="J98" s="33"/>
      <c r="K98" s="33"/>
      <c r="L98" s="20"/>
    </row>
    <row r="99" spans="1:12" ht="15.75" x14ac:dyDescent="0.25">
      <c r="A99" s="15"/>
      <c r="B99" s="15"/>
      <c r="C99" s="20"/>
      <c r="D99" s="20"/>
      <c r="E99" s="20"/>
      <c r="F99" s="20"/>
      <c r="G99" s="20"/>
      <c r="H99" s="20"/>
      <c r="I99" s="33"/>
      <c r="J99" s="33"/>
      <c r="K99" s="33"/>
      <c r="L99" s="20"/>
    </row>
    <row r="100" spans="1:12" ht="15.75" x14ac:dyDescent="0.25">
      <c r="A100" s="15"/>
      <c r="B100" s="15"/>
      <c r="C100" s="20"/>
      <c r="D100" s="20"/>
      <c r="E100" s="20"/>
      <c r="F100" s="20"/>
      <c r="G100" s="20"/>
      <c r="H100" s="20"/>
      <c r="I100" s="33"/>
      <c r="J100" s="33"/>
      <c r="K100" s="33"/>
      <c r="L100" s="20"/>
    </row>
    <row r="101" spans="1:12" ht="15.75" x14ac:dyDescent="0.25">
      <c r="A101" s="15"/>
      <c r="B101" s="15"/>
      <c r="C101" s="20"/>
      <c r="D101" s="20"/>
      <c r="E101" s="20"/>
      <c r="F101" s="20"/>
      <c r="G101" s="20"/>
      <c r="H101" s="20"/>
      <c r="I101" s="33"/>
      <c r="J101" s="33"/>
      <c r="K101" s="33"/>
      <c r="L101" s="20"/>
    </row>
    <row r="102" spans="1:12" ht="15.75" x14ac:dyDescent="0.25">
      <c r="A102" s="15"/>
      <c r="B102" s="15"/>
      <c r="C102" s="20"/>
      <c r="D102" s="20"/>
      <c r="E102" s="20"/>
      <c r="F102" s="20"/>
      <c r="G102" s="20"/>
      <c r="H102" s="20"/>
      <c r="I102" s="33"/>
      <c r="J102" s="33"/>
      <c r="K102" s="33"/>
      <c r="L102" s="20"/>
    </row>
    <row r="103" spans="1:12" ht="15.75" x14ac:dyDescent="0.25">
      <c r="A103" s="15"/>
      <c r="B103" s="15"/>
      <c r="C103" s="20"/>
      <c r="D103" s="20"/>
      <c r="E103" s="20"/>
      <c r="F103" s="20"/>
      <c r="G103" s="20"/>
      <c r="H103" s="20"/>
      <c r="I103" s="33"/>
      <c r="J103" s="33"/>
      <c r="K103" s="33"/>
      <c r="L103" s="20"/>
    </row>
    <row r="104" spans="1:12" ht="15.75" x14ac:dyDescent="0.25">
      <c r="A104" s="15"/>
      <c r="B104" s="15"/>
      <c r="C104" s="20"/>
      <c r="D104" s="20"/>
      <c r="E104" s="20"/>
      <c r="F104" s="20"/>
      <c r="G104" s="20"/>
      <c r="H104" s="20"/>
      <c r="I104" s="33"/>
      <c r="J104" s="33"/>
      <c r="K104" s="33"/>
      <c r="L104" s="20"/>
    </row>
    <row r="105" spans="1:12" ht="15.75" x14ac:dyDescent="0.25">
      <c r="A105" s="15"/>
      <c r="B105" s="15"/>
      <c r="C105" s="20"/>
      <c r="D105" s="20"/>
      <c r="E105" s="20"/>
      <c r="F105" s="20"/>
      <c r="G105" s="20"/>
      <c r="H105" s="20"/>
      <c r="I105" s="33"/>
      <c r="J105" s="33"/>
      <c r="K105" s="33"/>
      <c r="L105" s="20"/>
    </row>
    <row r="106" spans="1:12" ht="15.75" x14ac:dyDescent="0.25">
      <c r="A106" s="15"/>
      <c r="B106" s="15"/>
      <c r="C106" s="20"/>
      <c r="D106" s="20"/>
      <c r="E106" s="20"/>
      <c r="F106" s="20"/>
      <c r="G106" s="20"/>
      <c r="H106" s="20"/>
      <c r="I106" s="33"/>
      <c r="J106" s="33"/>
      <c r="K106" s="33"/>
      <c r="L106" s="20"/>
    </row>
    <row r="107" spans="1:12" ht="15.75" x14ac:dyDescent="0.25">
      <c r="A107" s="15"/>
      <c r="B107" s="15"/>
      <c r="C107" s="20"/>
      <c r="D107" s="20"/>
      <c r="E107" s="20"/>
      <c r="F107" s="20"/>
      <c r="G107" s="20"/>
      <c r="H107" s="20"/>
      <c r="I107" s="33"/>
      <c r="J107" s="33"/>
      <c r="K107" s="33"/>
      <c r="L107" s="20"/>
    </row>
    <row r="108" spans="1:12" ht="15.75" x14ac:dyDescent="0.25">
      <c r="A108" s="15"/>
      <c r="B108" s="15"/>
      <c r="C108" s="20"/>
      <c r="D108" s="20"/>
      <c r="E108" s="20"/>
      <c r="F108" s="20"/>
      <c r="G108" s="20"/>
      <c r="H108" s="20"/>
      <c r="I108" s="33"/>
      <c r="J108" s="33"/>
      <c r="K108" s="33"/>
      <c r="L108" s="20"/>
    </row>
    <row r="109" spans="1:12" ht="15.75" x14ac:dyDescent="0.25">
      <c r="A109" s="15"/>
      <c r="B109" s="15"/>
      <c r="C109" s="20"/>
      <c r="D109" s="20"/>
      <c r="E109" s="20"/>
      <c r="F109" s="20"/>
      <c r="G109" s="20"/>
      <c r="H109" s="20"/>
      <c r="I109" s="33"/>
      <c r="J109" s="33"/>
      <c r="K109" s="33"/>
      <c r="L109" s="20"/>
    </row>
    <row r="110" spans="1:12" ht="15.75" x14ac:dyDescent="0.25">
      <c r="A110" s="15"/>
      <c r="B110" s="15"/>
      <c r="C110" s="20"/>
      <c r="D110" s="20"/>
      <c r="E110" s="20"/>
      <c r="F110" s="20"/>
      <c r="G110" s="20"/>
      <c r="H110" s="20"/>
      <c r="I110" s="33"/>
      <c r="J110" s="33"/>
      <c r="K110" s="33"/>
      <c r="L110" s="20"/>
    </row>
    <row r="111" spans="1:12" ht="15.75" x14ac:dyDescent="0.25">
      <c r="A111" s="15"/>
      <c r="B111" s="15"/>
      <c r="C111" s="20"/>
      <c r="D111" s="20"/>
      <c r="E111" s="20"/>
      <c r="F111" s="20"/>
      <c r="G111" s="20"/>
      <c r="H111" s="20"/>
      <c r="I111" s="33"/>
      <c r="J111" s="33"/>
      <c r="K111" s="33"/>
      <c r="L111" s="20"/>
    </row>
    <row r="112" spans="1:12" ht="15.75" x14ac:dyDescent="0.25">
      <c r="A112" s="15"/>
      <c r="B112" s="15"/>
      <c r="C112" s="20"/>
      <c r="D112" s="20"/>
      <c r="E112" s="20"/>
      <c r="F112" s="20"/>
      <c r="G112" s="20"/>
      <c r="H112" s="20"/>
      <c r="I112" s="33"/>
      <c r="J112" s="33"/>
      <c r="K112" s="33"/>
      <c r="L112" s="20"/>
    </row>
    <row r="113" spans="1:12" ht="15.75" x14ac:dyDescent="0.25">
      <c r="A113" s="15"/>
      <c r="B113" s="15"/>
      <c r="C113" s="20"/>
      <c r="D113" s="20"/>
      <c r="E113" s="20"/>
      <c r="F113" s="20"/>
      <c r="G113" s="20"/>
      <c r="H113" s="20"/>
      <c r="I113" s="33"/>
      <c r="J113" s="33"/>
      <c r="K113" s="33"/>
      <c r="L113" s="20"/>
    </row>
    <row r="114" spans="1:12" ht="15.75" x14ac:dyDescent="0.25">
      <c r="A114" s="15"/>
      <c r="B114" s="15"/>
      <c r="C114" s="20"/>
      <c r="D114" s="20"/>
      <c r="E114" s="20"/>
      <c r="F114" s="20"/>
      <c r="G114" s="20"/>
      <c r="H114" s="20"/>
      <c r="I114" s="33"/>
      <c r="J114" s="33"/>
      <c r="K114" s="33"/>
      <c r="L114" s="20"/>
    </row>
    <row r="115" spans="1:12" ht="15.75" x14ac:dyDescent="0.25">
      <c r="A115" s="15"/>
      <c r="B115" s="15"/>
      <c r="C115" s="20"/>
      <c r="D115" s="20"/>
      <c r="E115" s="20"/>
      <c r="F115" s="20"/>
      <c r="G115" s="20"/>
      <c r="H115" s="20"/>
      <c r="I115" s="33"/>
      <c r="J115" s="33"/>
      <c r="K115" s="33"/>
      <c r="L115" s="20"/>
    </row>
    <row r="116" spans="1:12" ht="15.75" x14ac:dyDescent="0.25">
      <c r="A116" s="15"/>
      <c r="B116" s="15"/>
      <c r="C116" s="20"/>
      <c r="D116" s="20"/>
      <c r="E116" s="20"/>
      <c r="F116" s="20"/>
      <c r="G116" s="20"/>
      <c r="H116" s="20"/>
      <c r="I116" s="33"/>
      <c r="J116" s="33"/>
      <c r="K116" s="33"/>
      <c r="L116" s="20"/>
    </row>
    <row r="117" spans="1:12" ht="15.75" x14ac:dyDescent="0.25">
      <c r="A117" s="15"/>
      <c r="B117" s="15"/>
      <c r="C117" s="20"/>
      <c r="D117" s="20"/>
      <c r="E117" s="20"/>
      <c r="F117" s="20"/>
      <c r="G117" s="20"/>
      <c r="H117" s="20"/>
      <c r="I117" s="33"/>
      <c r="J117" s="33"/>
      <c r="K117" s="33"/>
      <c r="L117" s="20"/>
    </row>
    <row r="118" spans="1:12" ht="15.75" x14ac:dyDescent="0.25">
      <c r="A118" s="15"/>
      <c r="B118" s="15"/>
      <c r="C118" s="20"/>
      <c r="D118" s="20"/>
      <c r="E118" s="20"/>
      <c r="F118" s="20"/>
      <c r="G118" s="20"/>
      <c r="H118" s="20"/>
      <c r="I118" s="33"/>
      <c r="J118" s="33"/>
      <c r="K118" s="33"/>
      <c r="L118" s="20"/>
    </row>
    <row r="119" spans="1:12" ht="15.75" x14ac:dyDescent="0.25">
      <c r="A119" s="15"/>
      <c r="B119" s="15"/>
      <c r="C119" s="20"/>
      <c r="D119" s="20"/>
      <c r="E119" s="20"/>
      <c r="F119" s="20"/>
      <c r="G119" s="20"/>
      <c r="H119" s="20"/>
      <c r="I119" s="33"/>
      <c r="J119" s="33"/>
      <c r="K119" s="33"/>
      <c r="L119" s="20"/>
    </row>
    <row r="120" spans="1:12" ht="15.75" x14ac:dyDescent="0.25">
      <c r="A120" s="15"/>
      <c r="B120" s="15"/>
      <c r="C120" s="20"/>
      <c r="D120" s="20"/>
      <c r="E120" s="20"/>
      <c r="F120" s="20"/>
      <c r="G120" s="20"/>
      <c r="H120" s="20"/>
      <c r="I120" s="33"/>
      <c r="J120" s="33"/>
      <c r="K120" s="33"/>
      <c r="L120" s="20"/>
    </row>
    <row r="121" spans="1:12" ht="15.75" x14ac:dyDescent="0.25">
      <c r="A121" s="15"/>
      <c r="B121" s="15"/>
      <c r="C121" s="20"/>
      <c r="D121" s="20"/>
      <c r="E121" s="20"/>
      <c r="F121" s="20"/>
      <c r="G121" s="20"/>
      <c r="H121" s="20"/>
      <c r="I121" s="33"/>
      <c r="J121" s="33"/>
      <c r="K121" s="33"/>
      <c r="L121" s="20"/>
    </row>
    <row r="122" spans="1:12" ht="15.75" x14ac:dyDescent="0.25">
      <c r="A122" s="15"/>
      <c r="B122" s="15"/>
      <c r="C122" s="20"/>
      <c r="D122" s="20"/>
      <c r="E122" s="20"/>
      <c r="F122" s="20"/>
      <c r="G122" s="20"/>
      <c r="H122" s="20"/>
      <c r="I122" s="33"/>
      <c r="J122" s="33"/>
      <c r="K122" s="33"/>
      <c r="L122" s="20"/>
    </row>
    <row r="123" spans="1:12" ht="15.75" x14ac:dyDescent="0.25">
      <c r="A123" s="15"/>
      <c r="B123" s="15"/>
      <c r="C123" s="20"/>
      <c r="D123" s="20"/>
      <c r="E123" s="20"/>
      <c r="F123" s="20"/>
      <c r="G123" s="20"/>
      <c r="H123" s="20"/>
      <c r="I123" s="33"/>
      <c r="J123" s="33"/>
      <c r="K123" s="33"/>
      <c r="L123" s="20"/>
    </row>
    <row r="124" spans="1:12" ht="15.75" x14ac:dyDescent="0.25">
      <c r="A124" s="15"/>
      <c r="B124" s="15"/>
      <c r="C124" s="20"/>
      <c r="D124" s="20"/>
      <c r="E124" s="20"/>
      <c r="F124" s="20"/>
      <c r="G124" s="20"/>
      <c r="H124" s="20"/>
      <c r="I124" s="33"/>
      <c r="J124" s="33"/>
      <c r="K124" s="33"/>
      <c r="L124" s="20"/>
    </row>
    <row r="125" spans="1:12" ht="15.75" x14ac:dyDescent="0.25">
      <c r="A125" s="15"/>
      <c r="B125" s="15"/>
      <c r="C125" s="20"/>
      <c r="D125" s="20"/>
      <c r="E125" s="20"/>
      <c r="F125" s="20"/>
      <c r="G125" s="20"/>
      <c r="H125" s="20"/>
      <c r="I125" s="33"/>
      <c r="J125" s="33"/>
      <c r="K125" s="33"/>
      <c r="L125" s="20"/>
    </row>
    <row r="126" spans="1:12" ht="15.75" x14ac:dyDescent="0.25">
      <c r="A126" s="15"/>
      <c r="B126" s="15"/>
      <c r="C126" s="20"/>
      <c r="D126" s="20"/>
      <c r="E126" s="20"/>
      <c r="F126" s="20"/>
      <c r="G126" s="20"/>
      <c r="H126" s="20"/>
      <c r="I126" s="33"/>
      <c r="J126" s="33"/>
      <c r="K126" s="33"/>
      <c r="L126" s="20"/>
    </row>
    <row r="127" spans="1:12" ht="15.75" x14ac:dyDescent="0.25">
      <c r="A127" s="15"/>
      <c r="B127" s="15"/>
      <c r="C127" s="20"/>
      <c r="D127" s="20"/>
      <c r="E127" s="20"/>
      <c r="F127" s="20"/>
      <c r="G127" s="20"/>
      <c r="H127" s="20"/>
      <c r="I127" s="33"/>
      <c r="J127" s="33"/>
      <c r="K127" s="33"/>
      <c r="L127" s="20"/>
    </row>
    <row r="128" spans="1:12" ht="15.75" x14ac:dyDescent="0.25">
      <c r="A128" s="15"/>
      <c r="B128" s="15"/>
      <c r="C128" s="20"/>
      <c r="D128" s="20"/>
      <c r="E128" s="20"/>
      <c r="F128" s="20"/>
      <c r="G128" s="20"/>
      <c r="H128" s="20"/>
      <c r="I128" s="33"/>
      <c r="J128" s="33"/>
      <c r="K128" s="33"/>
      <c r="L128" s="20"/>
    </row>
    <row r="129" spans="1:12" ht="15.75" x14ac:dyDescent="0.25">
      <c r="A129" s="15"/>
      <c r="B129" s="15"/>
      <c r="C129" s="20"/>
      <c r="D129" s="20"/>
      <c r="E129" s="20"/>
      <c r="F129" s="20"/>
      <c r="G129" s="20"/>
      <c r="H129" s="20"/>
      <c r="I129" s="33"/>
      <c r="J129" s="33"/>
      <c r="K129" s="33"/>
      <c r="L129" s="20"/>
    </row>
    <row r="130" spans="1:12" ht="15.75" x14ac:dyDescent="0.25">
      <c r="A130" s="15"/>
      <c r="B130" s="15"/>
      <c r="C130" s="20"/>
      <c r="D130" s="20"/>
      <c r="E130" s="20"/>
      <c r="F130" s="20"/>
      <c r="G130" s="20"/>
      <c r="H130" s="20"/>
      <c r="I130" s="33"/>
      <c r="J130" s="33"/>
      <c r="K130" s="33"/>
      <c r="L130" s="20"/>
    </row>
    <row r="131" spans="1:12" ht="15.75" x14ac:dyDescent="0.25">
      <c r="A131" s="15"/>
      <c r="B131" s="15"/>
      <c r="C131" s="20"/>
      <c r="D131" s="20"/>
      <c r="E131" s="20"/>
      <c r="F131" s="20"/>
      <c r="G131" s="20"/>
      <c r="H131" s="20"/>
      <c r="I131" s="33"/>
      <c r="J131" s="33"/>
      <c r="K131" s="33"/>
      <c r="L131" s="20"/>
    </row>
    <row r="132" spans="1:12" ht="15.75" x14ac:dyDescent="0.25">
      <c r="A132" s="15"/>
      <c r="B132" s="15"/>
      <c r="C132" s="20"/>
      <c r="D132" s="20"/>
      <c r="E132" s="20"/>
      <c r="F132" s="20"/>
      <c r="G132" s="20"/>
      <c r="H132" s="20"/>
      <c r="I132" s="33"/>
      <c r="J132" s="33"/>
      <c r="K132" s="33"/>
      <c r="L132" s="20"/>
    </row>
    <row r="133" spans="1:12" ht="15.75" x14ac:dyDescent="0.25">
      <c r="A133" s="15"/>
      <c r="B133" s="15"/>
      <c r="C133" s="20"/>
      <c r="D133" s="20"/>
      <c r="E133" s="20"/>
      <c r="F133" s="20"/>
      <c r="G133" s="20"/>
      <c r="H133" s="20"/>
      <c r="I133" s="33"/>
      <c r="J133" s="33"/>
      <c r="K133" s="33"/>
      <c r="L133" s="20"/>
    </row>
    <row r="134" spans="1:12" ht="15.75" x14ac:dyDescent="0.25">
      <c r="A134" s="15"/>
      <c r="B134" s="15"/>
      <c r="C134" s="20"/>
      <c r="D134" s="20"/>
      <c r="E134" s="20"/>
      <c r="F134" s="20"/>
      <c r="G134" s="20"/>
      <c r="H134" s="20"/>
      <c r="I134" s="33"/>
      <c r="J134" s="33"/>
      <c r="K134" s="33"/>
      <c r="L134" s="20"/>
    </row>
    <row r="135" spans="1:12" ht="15.75" x14ac:dyDescent="0.25">
      <c r="A135" s="15"/>
      <c r="B135" s="15"/>
      <c r="C135" s="20"/>
      <c r="D135" s="20"/>
      <c r="E135" s="20"/>
      <c r="F135" s="20"/>
      <c r="G135" s="20"/>
      <c r="H135" s="20"/>
      <c r="I135" s="33"/>
      <c r="J135" s="33"/>
      <c r="K135" s="33"/>
      <c r="L135" s="20"/>
    </row>
    <row r="136" spans="1:12" ht="15.75" x14ac:dyDescent="0.25">
      <c r="A136" s="15"/>
      <c r="B136" s="15"/>
      <c r="C136" s="20"/>
      <c r="D136" s="20"/>
      <c r="E136" s="20"/>
      <c r="F136" s="20"/>
      <c r="G136" s="20"/>
      <c r="H136" s="20"/>
      <c r="I136" s="33"/>
      <c r="J136" s="33"/>
      <c r="K136" s="33"/>
      <c r="L136" s="20"/>
    </row>
    <row r="137" spans="1:12" ht="15.75" x14ac:dyDescent="0.25">
      <c r="A137" s="15"/>
      <c r="B137" s="15"/>
      <c r="C137" s="20"/>
      <c r="D137" s="20"/>
      <c r="E137" s="20"/>
      <c r="F137" s="20"/>
      <c r="G137" s="20"/>
      <c r="H137" s="20"/>
      <c r="I137" s="33"/>
      <c r="J137" s="33"/>
      <c r="K137" s="33"/>
      <c r="L137" s="20"/>
    </row>
    <row r="138" spans="1:12" ht="15.75" x14ac:dyDescent="0.25">
      <c r="A138" s="15"/>
      <c r="B138" s="15"/>
      <c r="C138" s="20"/>
      <c r="D138" s="20"/>
      <c r="E138" s="20"/>
      <c r="F138" s="20"/>
      <c r="G138" s="20"/>
      <c r="H138" s="20"/>
      <c r="I138" s="33"/>
      <c r="J138" s="33"/>
      <c r="K138" s="33"/>
      <c r="L138" s="20"/>
    </row>
    <row r="139" spans="1:12" ht="15.75" x14ac:dyDescent="0.25">
      <c r="A139" s="15"/>
      <c r="B139" s="15"/>
      <c r="C139" s="20"/>
      <c r="D139" s="20"/>
      <c r="E139" s="20"/>
      <c r="F139" s="20"/>
      <c r="G139" s="20"/>
      <c r="H139" s="20"/>
      <c r="I139" s="33"/>
      <c r="J139" s="33"/>
      <c r="K139" s="33"/>
      <c r="L139" s="20"/>
    </row>
    <row r="140" spans="1:12" ht="15.75" x14ac:dyDescent="0.25">
      <c r="A140" s="15"/>
      <c r="B140" s="15"/>
      <c r="C140" s="20"/>
      <c r="D140" s="20"/>
      <c r="E140" s="20"/>
      <c r="F140" s="20"/>
      <c r="G140" s="20"/>
      <c r="H140" s="20"/>
      <c r="I140" s="33"/>
      <c r="J140" s="33"/>
      <c r="K140" s="33"/>
      <c r="L140" s="20"/>
    </row>
    <row r="141" spans="1:12" ht="15.75" x14ac:dyDescent="0.25">
      <c r="A141" s="15"/>
      <c r="B141" s="15"/>
      <c r="C141" s="20"/>
      <c r="D141" s="20"/>
      <c r="E141" s="20"/>
      <c r="F141" s="20"/>
      <c r="G141" s="20"/>
      <c r="H141" s="20"/>
      <c r="I141" s="33"/>
      <c r="J141" s="33"/>
      <c r="K141" s="33"/>
      <c r="L141" s="20"/>
    </row>
    <row r="142" spans="1:12" ht="15.75" x14ac:dyDescent="0.25">
      <c r="A142" s="15"/>
      <c r="B142" s="15"/>
      <c r="C142" s="20"/>
      <c r="D142" s="20"/>
      <c r="E142" s="20"/>
      <c r="F142" s="20"/>
      <c r="G142" s="20"/>
      <c r="H142" s="20"/>
      <c r="I142" s="33"/>
      <c r="J142" s="33"/>
      <c r="K142" s="33"/>
      <c r="L142" s="20"/>
    </row>
    <row r="143" spans="1:12" ht="15.75" x14ac:dyDescent="0.25">
      <c r="A143" s="15"/>
      <c r="B143" s="15"/>
      <c r="C143" s="20"/>
      <c r="D143" s="20"/>
      <c r="E143" s="20"/>
      <c r="F143" s="20"/>
      <c r="G143" s="20"/>
      <c r="H143" s="20"/>
      <c r="I143" s="33"/>
      <c r="J143" s="33"/>
      <c r="K143" s="33"/>
      <c r="L143" s="20"/>
    </row>
    <row r="144" spans="1:12" ht="15.75" x14ac:dyDescent="0.25">
      <c r="A144" s="15"/>
      <c r="B144" s="15"/>
      <c r="C144" s="20"/>
      <c r="D144" s="20"/>
      <c r="E144" s="20"/>
      <c r="F144" s="20"/>
      <c r="G144" s="20"/>
      <c r="H144" s="20"/>
      <c r="I144" s="33"/>
      <c r="J144" s="33"/>
      <c r="K144" s="33"/>
      <c r="L144" s="20"/>
    </row>
    <row r="145" spans="1:12" ht="15.75" x14ac:dyDescent="0.25">
      <c r="A145" s="15"/>
      <c r="B145" s="15"/>
      <c r="C145" s="20"/>
      <c r="D145" s="20"/>
      <c r="E145" s="20"/>
      <c r="F145" s="20"/>
      <c r="G145" s="20"/>
      <c r="H145" s="20"/>
      <c r="I145" s="33"/>
      <c r="J145" s="33"/>
      <c r="K145" s="33"/>
      <c r="L145" s="20"/>
    </row>
    <row r="146" spans="1:12" ht="15.75" x14ac:dyDescent="0.25">
      <c r="A146" s="15"/>
      <c r="B146" s="15"/>
      <c r="C146" s="20"/>
      <c r="D146" s="20"/>
      <c r="E146" s="20"/>
      <c r="F146" s="20"/>
      <c r="G146" s="20"/>
      <c r="H146" s="20"/>
      <c r="I146" s="33"/>
      <c r="J146" s="33"/>
      <c r="K146" s="33"/>
      <c r="L146" s="20"/>
    </row>
    <row r="147" spans="1:12" ht="15.75" x14ac:dyDescent="0.25">
      <c r="A147" s="15"/>
      <c r="B147" s="15"/>
      <c r="C147" s="20"/>
      <c r="D147" s="20"/>
      <c r="E147" s="20"/>
      <c r="F147" s="20"/>
      <c r="G147" s="20"/>
      <c r="H147" s="20"/>
      <c r="I147" s="33"/>
      <c r="J147" s="33"/>
      <c r="K147" s="33"/>
      <c r="L147" s="20"/>
    </row>
    <row r="148" spans="1:12" ht="15.75" x14ac:dyDescent="0.25">
      <c r="A148" s="15"/>
      <c r="B148" s="15"/>
      <c r="C148" s="20"/>
      <c r="D148" s="20"/>
      <c r="E148" s="20"/>
      <c r="F148" s="20"/>
      <c r="G148" s="20"/>
      <c r="H148" s="20"/>
      <c r="I148" s="33"/>
      <c r="J148" s="33"/>
      <c r="K148" s="33"/>
      <c r="L148" s="20"/>
    </row>
    <row r="149" spans="1:12" ht="15.75" x14ac:dyDescent="0.25">
      <c r="A149" s="15"/>
      <c r="B149" s="15"/>
      <c r="C149" s="20"/>
      <c r="D149" s="20"/>
      <c r="E149" s="20"/>
      <c r="F149" s="20"/>
      <c r="G149" s="20"/>
      <c r="H149" s="20"/>
      <c r="I149" s="33"/>
      <c r="J149" s="33"/>
      <c r="K149" s="33"/>
      <c r="L149" s="20"/>
    </row>
    <row r="150" spans="1:12" ht="15.75" x14ac:dyDescent="0.25">
      <c r="A150" s="15"/>
      <c r="B150" s="15"/>
      <c r="C150" s="20"/>
      <c r="D150" s="20"/>
      <c r="E150" s="20"/>
      <c r="F150" s="20"/>
      <c r="G150" s="20"/>
      <c r="H150" s="20"/>
      <c r="I150" s="33"/>
      <c r="J150" s="33"/>
      <c r="K150" s="33"/>
      <c r="L150" s="20"/>
    </row>
    <row r="151" spans="1:12" ht="15.75" x14ac:dyDescent="0.25">
      <c r="A151" s="15"/>
      <c r="B151" s="15"/>
      <c r="C151" s="20"/>
      <c r="D151" s="20"/>
      <c r="E151" s="20"/>
      <c r="F151" s="20"/>
      <c r="G151" s="20"/>
      <c r="H151" s="20"/>
      <c r="I151" s="33"/>
      <c r="J151" s="33"/>
      <c r="K151" s="33"/>
      <c r="L151" s="20"/>
    </row>
    <row r="152" spans="1:12" ht="15.75" x14ac:dyDescent="0.25">
      <c r="A152" s="15"/>
      <c r="B152" s="15"/>
      <c r="C152" s="20"/>
      <c r="D152" s="20"/>
      <c r="E152" s="20"/>
      <c r="F152" s="20"/>
      <c r="G152" s="20"/>
      <c r="H152" s="20"/>
      <c r="I152" s="33"/>
      <c r="J152" s="33"/>
      <c r="K152" s="33"/>
      <c r="L152" s="20"/>
    </row>
    <row r="153" spans="1:12" ht="15.75" x14ac:dyDescent="0.25">
      <c r="A153" s="15"/>
      <c r="B153" s="15"/>
      <c r="C153" s="20"/>
      <c r="D153" s="20"/>
      <c r="E153" s="20"/>
      <c r="F153" s="20"/>
      <c r="G153" s="20"/>
      <c r="H153" s="20"/>
      <c r="I153" s="33"/>
      <c r="J153" s="33"/>
      <c r="K153" s="33"/>
      <c r="L153" s="20"/>
    </row>
    <row r="154" spans="1:12" ht="15.75" x14ac:dyDescent="0.25">
      <c r="A154" s="15"/>
      <c r="B154" s="15"/>
      <c r="C154" s="20"/>
      <c r="D154" s="20"/>
      <c r="E154" s="20"/>
      <c r="F154" s="20"/>
      <c r="G154" s="20"/>
      <c r="H154" s="20"/>
      <c r="I154" s="33"/>
      <c r="J154" s="33"/>
      <c r="K154" s="33"/>
      <c r="L154" s="20"/>
    </row>
    <row r="155" spans="1:12" ht="15.75" x14ac:dyDescent="0.25">
      <c r="A155" s="15"/>
      <c r="B155" s="15"/>
      <c r="C155" s="20"/>
      <c r="D155" s="20"/>
      <c r="E155" s="20"/>
      <c r="F155" s="20"/>
      <c r="G155" s="20"/>
      <c r="H155" s="20"/>
      <c r="I155" s="33"/>
      <c r="J155" s="33"/>
      <c r="K155" s="33"/>
      <c r="L155" s="20"/>
    </row>
    <row r="156" spans="1:12" ht="15.75" x14ac:dyDescent="0.25">
      <c r="A156" s="15"/>
      <c r="B156" s="15"/>
      <c r="C156" s="20"/>
      <c r="D156" s="20"/>
      <c r="E156" s="20"/>
      <c r="F156" s="20"/>
      <c r="G156" s="20"/>
      <c r="H156" s="20"/>
      <c r="I156" s="33"/>
      <c r="J156" s="33"/>
      <c r="K156" s="33"/>
      <c r="L156" s="20"/>
    </row>
    <row r="157" spans="1:12" ht="15.75" x14ac:dyDescent="0.25">
      <c r="A157" s="15"/>
      <c r="B157" s="15"/>
      <c r="C157" s="20"/>
      <c r="D157" s="20"/>
      <c r="E157" s="20"/>
      <c r="F157" s="20"/>
      <c r="G157" s="20"/>
      <c r="H157" s="20"/>
      <c r="I157" s="33"/>
      <c r="J157" s="33"/>
      <c r="K157" s="33"/>
      <c r="L157" s="20"/>
    </row>
    <row r="158" spans="1:12" ht="15.75" x14ac:dyDescent="0.25">
      <c r="A158" s="15"/>
      <c r="B158" s="15"/>
      <c r="C158" s="20"/>
      <c r="D158" s="20"/>
      <c r="E158" s="20"/>
      <c r="F158" s="20"/>
      <c r="G158" s="20"/>
      <c r="H158" s="20"/>
      <c r="I158" s="33"/>
      <c r="J158" s="33"/>
      <c r="K158" s="33"/>
      <c r="L158" s="20"/>
    </row>
    <row r="159" spans="1:12" ht="15.75" x14ac:dyDescent="0.25">
      <c r="A159" s="15"/>
      <c r="B159" s="15"/>
      <c r="C159" s="20"/>
      <c r="D159" s="20"/>
      <c r="E159" s="20"/>
      <c r="F159" s="20"/>
      <c r="G159" s="20"/>
      <c r="H159" s="20"/>
      <c r="I159" s="33"/>
      <c r="J159" s="33"/>
      <c r="K159" s="33"/>
      <c r="L159" s="20"/>
    </row>
    <row r="160" spans="1:12" ht="15.75" x14ac:dyDescent="0.25">
      <c r="A160" s="15"/>
      <c r="B160" s="15"/>
      <c r="C160" s="20"/>
      <c r="D160" s="20"/>
      <c r="E160" s="20"/>
      <c r="F160" s="20"/>
      <c r="G160" s="20"/>
      <c r="H160" s="20"/>
      <c r="I160" s="33"/>
      <c r="J160" s="33"/>
      <c r="K160" s="33"/>
      <c r="L160" s="20"/>
    </row>
    <row r="161" spans="1:12" ht="15.75" x14ac:dyDescent="0.25">
      <c r="A161" s="15"/>
      <c r="B161" s="15"/>
      <c r="C161" s="20"/>
      <c r="D161" s="20"/>
      <c r="E161" s="20"/>
      <c r="F161" s="20"/>
      <c r="G161" s="20"/>
      <c r="H161" s="20"/>
      <c r="I161" s="33"/>
      <c r="J161" s="33"/>
      <c r="K161" s="33"/>
      <c r="L161" s="20"/>
    </row>
    <row r="162" spans="1:12" ht="15.75" x14ac:dyDescent="0.25">
      <c r="A162" s="15"/>
      <c r="B162" s="15"/>
      <c r="C162" s="20"/>
      <c r="D162" s="20"/>
      <c r="E162" s="20"/>
      <c r="F162" s="20"/>
      <c r="G162" s="20"/>
      <c r="H162" s="20"/>
      <c r="I162" s="33"/>
      <c r="J162" s="33"/>
      <c r="K162" s="33"/>
      <c r="L162" s="20"/>
    </row>
    <row r="163" spans="1:12" ht="15.75" x14ac:dyDescent="0.25">
      <c r="A163" s="15"/>
      <c r="B163" s="15"/>
      <c r="C163" s="20"/>
      <c r="D163" s="20"/>
      <c r="E163" s="20"/>
      <c r="F163" s="20"/>
      <c r="G163" s="20"/>
      <c r="H163" s="20"/>
      <c r="I163" s="33"/>
      <c r="J163" s="33"/>
      <c r="K163" s="33"/>
      <c r="L163" s="20"/>
    </row>
    <row r="164" spans="1:12" ht="15.75" x14ac:dyDescent="0.25">
      <c r="A164" s="15"/>
      <c r="B164" s="15"/>
      <c r="C164" s="20"/>
      <c r="D164" s="20"/>
      <c r="E164" s="20"/>
      <c r="F164" s="20"/>
      <c r="G164" s="20"/>
      <c r="H164" s="20"/>
      <c r="I164" s="33"/>
      <c r="J164" s="33"/>
      <c r="K164" s="33"/>
      <c r="L164" s="20"/>
    </row>
    <row r="165" spans="1:12" ht="15.75" x14ac:dyDescent="0.25">
      <c r="A165" s="15"/>
      <c r="B165" s="15"/>
      <c r="C165" s="20"/>
      <c r="D165" s="20"/>
      <c r="E165" s="20"/>
      <c r="F165" s="20"/>
      <c r="G165" s="20"/>
      <c r="H165" s="20"/>
      <c r="I165" s="33"/>
      <c r="J165" s="33"/>
      <c r="K165" s="33"/>
      <c r="L165" s="20"/>
    </row>
    <row r="166" spans="1:12" ht="15.75" x14ac:dyDescent="0.25">
      <c r="A166" s="15"/>
      <c r="B166" s="15"/>
      <c r="C166" s="20"/>
      <c r="D166" s="20"/>
      <c r="E166" s="20"/>
      <c r="F166" s="20"/>
      <c r="G166" s="20"/>
      <c r="H166" s="20"/>
      <c r="I166" s="33"/>
      <c r="J166" s="33"/>
      <c r="K166" s="33"/>
      <c r="L166" s="20"/>
    </row>
    <row r="167" spans="1:12" ht="15.75" x14ac:dyDescent="0.25">
      <c r="A167" s="15"/>
      <c r="B167" s="15"/>
      <c r="C167" s="20"/>
      <c r="D167" s="20"/>
      <c r="E167" s="20"/>
      <c r="F167" s="20"/>
      <c r="G167" s="20"/>
      <c r="H167" s="20"/>
      <c r="I167" s="33"/>
      <c r="J167" s="33"/>
      <c r="K167" s="33"/>
      <c r="L167" s="20"/>
    </row>
    <row r="168" spans="1:12" ht="15.75" x14ac:dyDescent="0.25">
      <c r="A168" s="15"/>
      <c r="B168" s="15"/>
      <c r="C168" s="20"/>
      <c r="D168" s="20"/>
      <c r="E168" s="20"/>
      <c r="F168" s="20"/>
      <c r="G168" s="20"/>
      <c r="H168" s="20"/>
      <c r="I168" s="33"/>
      <c r="J168" s="33"/>
      <c r="K168" s="33"/>
      <c r="L168" s="20"/>
    </row>
    <row r="169" spans="1:12" ht="15.75" x14ac:dyDescent="0.25">
      <c r="A169" s="15"/>
      <c r="B169" s="15"/>
      <c r="C169" s="20"/>
      <c r="D169" s="20"/>
      <c r="E169" s="20"/>
      <c r="F169" s="20"/>
      <c r="G169" s="20"/>
      <c r="H169" s="20"/>
      <c r="I169" s="33"/>
      <c r="J169" s="33"/>
      <c r="K169" s="33"/>
      <c r="L169" s="20"/>
    </row>
    <row r="170" spans="1:12" ht="15.75" x14ac:dyDescent="0.25">
      <c r="A170" s="15"/>
      <c r="B170" s="15"/>
      <c r="C170" s="20"/>
      <c r="D170" s="20"/>
      <c r="E170" s="20"/>
      <c r="F170" s="20"/>
      <c r="G170" s="20"/>
      <c r="H170" s="20"/>
      <c r="I170" s="33"/>
      <c r="J170" s="33"/>
      <c r="K170" s="33"/>
      <c r="L170" s="20"/>
    </row>
    <row r="171" spans="1:12" ht="15.75" x14ac:dyDescent="0.25">
      <c r="A171" s="15"/>
      <c r="B171" s="15"/>
      <c r="C171" s="20"/>
      <c r="D171" s="20"/>
      <c r="E171" s="20"/>
      <c r="F171" s="20"/>
      <c r="G171" s="20"/>
      <c r="H171" s="20"/>
      <c r="I171" s="33"/>
      <c r="J171" s="33"/>
      <c r="K171" s="33"/>
      <c r="L171" s="20"/>
    </row>
    <row r="172" spans="1:12" ht="15.75" x14ac:dyDescent="0.25">
      <c r="A172" s="15"/>
      <c r="B172" s="15"/>
      <c r="C172" s="20"/>
      <c r="D172" s="20"/>
      <c r="E172" s="20"/>
      <c r="F172" s="20"/>
      <c r="G172" s="20"/>
      <c r="H172" s="20"/>
      <c r="I172" s="33"/>
      <c r="J172" s="33"/>
      <c r="K172" s="33"/>
      <c r="L172" s="20"/>
    </row>
    <row r="173" spans="1:12" ht="15.75" x14ac:dyDescent="0.25">
      <c r="A173" s="15"/>
      <c r="B173" s="15"/>
      <c r="C173" s="20"/>
      <c r="D173" s="20"/>
      <c r="E173" s="20"/>
      <c r="F173" s="20"/>
      <c r="G173" s="20"/>
      <c r="H173" s="20"/>
      <c r="I173" s="33"/>
      <c r="J173" s="33"/>
      <c r="K173" s="33"/>
      <c r="L173" s="20"/>
    </row>
    <row r="174" spans="1:12" ht="15.75" x14ac:dyDescent="0.25">
      <c r="A174" s="15"/>
      <c r="B174" s="15"/>
      <c r="C174" s="20"/>
      <c r="D174" s="20"/>
      <c r="E174" s="20"/>
      <c r="F174" s="20"/>
      <c r="G174" s="20"/>
      <c r="H174" s="20"/>
      <c r="I174" s="33"/>
      <c r="J174" s="33"/>
      <c r="K174" s="33"/>
      <c r="L174" s="20"/>
    </row>
    <row r="175" spans="1:12" ht="15.75" x14ac:dyDescent="0.25">
      <c r="A175" s="15"/>
      <c r="B175" s="15"/>
      <c r="C175" s="20"/>
      <c r="D175" s="20"/>
      <c r="E175" s="20"/>
      <c r="F175" s="20"/>
      <c r="G175" s="20"/>
      <c r="H175" s="20"/>
      <c r="I175" s="33"/>
      <c r="J175" s="33"/>
      <c r="K175" s="33"/>
      <c r="L175" s="20"/>
    </row>
    <row r="176" spans="1:12" ht="15.75" x14ac:dyDescent="0.25">
      <c r="A176" s="15"/>
      <c r="B176" s="15"/>
      <c r="C176" s="20"/>
      <c r="D176" s="20"/>
      <c r="E176" s="20"/>
      <c r="F176" s="20"/>
      <c r="G176" s="20"/>
      <c r="H176" s="20"/>
      <c r="I176" s="33"/>
      <c r="J176" s="33"/>
      <c r="K176" s="33"/>
      <c r="L176" s="20"/>
    </row>
    <row r="177" spans="1:12" ht="15.75" x14ac:dyDescent="0.25">
      <c r="A177" s="15"/>
      <c r="B177" s="15"/>
      <c r="C177" s="20"/>
      <c r="D177" s="20"/>
      <c r="E177" s="20"/>
      <c r="F177" s="20"/>
      <c r="G177" s="20"/>
      <c r="H177" s="20"/>
      <c r="I177" s="33"/>
      <c r="J177" s="33"/>
      <c r="K177" s="33"/>
      <c r="L177" s="20"/>
    </row>
    <row r="178" spans="1:12" ht="15.75" x14ac:dyDescent="0.25">
      <c r="A178" s="15"/>
      <c r="B178" s="15"/>
      <c r="C178" s="20"/>
      <c r="D178" s="20"/>
      <c r="E178" s="20"/>
      <c r="F178" s="20"/>
      <c r="G178" s="20"/>
      <c r="H178" s="20"/>
      <c r="I178" s="33"/>
      <c r="J178" s="33"/>
      <c r="K178" s="33"/>
      <c r="L178" s="20"/>
    </row>
    <row r="179" spans="1:12" ht="15.75" x14ac:dyDescent="0.25">
      <c r="A179" s="15"/>
      <c r="B179" s="15"/>
      <c r="C179" s="20"/>
      <c r="D179" s="20"/>
      <c r="E179" s="20"/>
      <c r="F179" s="20"/>
      <c r="G179" s="20"/>
      <c r="H179" s="20"/>
      <c r="I179" s="33"/>
      <c r="J179" s="33"/>
      <c r="K179" s="33"/>
      <c r="L179" s="20"/>
    </row>
    <row r="180" spans="1:12" ht="15.75" x14ac:dyDescent="0.25">
      <c r="A180" s="15"/>
      <c r="B180" s="15"/>
      <c r="C180" s="20"/>
      <c r="D180" s="20"/>
      <c r="E180" s="20"/>
      <c r="F180" s="20"/>
      <c r="G180" s="20"/>
      <c r="H180" s="20"/>
      <c r="I180" s="33"/>
      <c r="J180" s="33"/>
      <c r="K180" s="33"/>
      <c r="L180" s="20"/>
    </row>
    <row r="181" spans="1:12" ht="15.75" x14ac:dyDescent="0.25">
      <c r="A181" s="15"/>
      <c r="B181" s="15"/>
      <c r="C181" s="20"/>
      <c r="D181" s="20"/>
      <c r="E181" s="20"/>
      <c r="F181" s="20"/>
      <c r="G181" s="20"/>
      <c r="H181" s="20"/>
      <c r="I181" s="33"/>
      <c r="J181" s="33"/>
      <c r="K181" s="33"/>
      <c r="L181" s="20"/>
    </row>
    <row r="182" spans="1:12" ht="15.75" x14ac:dyDescent="0.25">
      <c r="A182" s="15"/>
      <c r="B182" s="15"/>
      <c r="C182" s="20"/>
      <c r="D182" s="20"/>
      <c r="E182" s="20"/>
      <c r="F182" s="20"/>
      <c r="G182" s="20"/>
      <c r="H182" s="20"/>
      <c r="I182" s="33"/>
      <c r="J182" s="33"/>
      <c r="K182" s="33"/>
      <c r="L182" s="20"/>
    </row>
    <row r="183" spans="1:12" ht="15.75" x14ac:dyDescent="0.25">
      <c r="A183" s="15"/>
      <c r="B183" s="15"/>
      <c r="C183" s="20"/>
      <c r="D183" s="20"/>
      <c r="E183" s="20"/>
      <c r="F183" s="20"/>
      <c r="G183" s="20"/>
      <c r="H183" s="20"/>
      <c r="I183" s="33"/>
      <c r="J183" s="33"/>
      <c r="K183" s="33"/>
      <c r="L183" s="20"/>
    </row>
    <row r="184" spans="1:12" ht="15.75" x14ac:dyDescent="0.25">
      <c r="A184" s="15"/>
      <c r="B184" s="15"/>
      <c r="C184" s="20"/>
      <c r="D184" s="20"/>
      <c r="E184" s="20"/>
      <c r="F184" s="20"/>
      <c r="G184" s="20"/>
      <c r="H184" s="20"/>
      <c r="I184" s="33"/>
      <c r="J184" s="33"/>
      <c r="K184" s="33"/>
      <c r="L184" s="20"/>
    </row>
    <row r="185" spans="1:12" ht="15.75" x14ac:dyDescent="0.25">
      <c r="A185" s="15"/>
      <c r="B185" s="15"/>
      <c r="C185" s="20"/>
      <c r="D185" s="20"/>
      <c r="E185" s="20"/>
      <c r="F185" s="20"/>
      <c r="G185" s="20"/>
      <c r="H185" s="20"/>
      <c r="I185" s="33"/>
      <c r="J185" s="33"/>
      <c r="K185" s="33"/>
      <c r="L185" s="20"/>
    </row>
    <row r="186" spans="1:12" ht="15.75" x14ac:dyDescent="0.25">
      <c r="A186" s="15"/>
      <c r="B186" s="15"/>
      <c r="C186" s="20"/>
      <c r="D186" s="20"/>
      <c r="E186" s="20"/>
      <c r="F186" s="20"/>
      <c r="G186" s="20"/>
      <c r="H186" s="20"/>
      <c r="I186" s="33"/>
      <c r="J186" s="33"/>
      <c r="K186" s="33"/>
      <c r="L186" s="20"/>
    </row>
    <row r="187" spans="1:12" ht="15.75" x14ac:dyDescent="0.25">
      <c r="A187" s="15"/>
      <c r="B187" s="15"/>
      <c r="C187" s="20"/>
      <c r="D187" s="20"/>
      <c r="E187" s="20"/>
      <c r="F187" s="20"/>
      <c r="G187" s="20"/>
      <c r="H187" s="20"/>
      <c r="I187" s="33"/>
      <c r="J187" s="33"/>
      <c r="K187" s="33"/>
      <c r="L187" s="20"/>
    </row>
    <row r="188" spans="1:12" ht="15.75" x14ac:dyDescent="0.25">
      <c r="A188" s="15"/>
      <c r="B188" s="15"/>
      <c r="C188" s="20"/>
      <c r="D188" s="20"/>
      <c r="E188" s="20"/>
      <c r="F188" s="20"/>
      <c r="G188" s="20"/>
      <c r="H188" s="20"/>
      <c r="I188" s="33"/>
      <c r="J188" s="33"/>
      <c r="K188" s="33"/>
      <c r="L188" s="20"/>
    </row>
    <row r="189" spans="1:12" ht="15.75" x14ac:dyDescent="0.25">
      <c r="A189" s="15"/>
      <c r="B189" s="15"/>
      <c r="C189" s="20"/>
      <c r="D189" s="20"/>
      <c r="E189" s="20"/>
      <c r="F189" s="20"/>
      <c r="G189" s="20"/>
      <c r="H189" s="20"/>
      <c r="I189" s="33"/>
      <c r="J189" s="33"/>
      <c r="K189" s="33"/>
      <c r="L189" s="20"/>
    </row>
    <row r="190" spans="1:12" ht="15.75" x14ac:dyDescent="0.25">
      <c r="A190" s="15"/>
      <c r="B190" s="15"/>
      <c r="C190" s="20"/>
      <c r="D190" s="20"/>
      <c r="E190" s="20"/>
      <c r="F190" s="20"/>
      <c r="G190" s="20"/>
      <c r="H190" s="20"/>
      <c r="I190" s="33"/>
      <c r="J190" s="33"/>
      <c r="K190" s="33"/>
      <c r="L190" s="20"/>
    </row>
    <row r="191" spans="1:12" ht="15.75" x14ac:dyDescent="0.25">
      <c r="A191" s="15"/>
      <c r="B191" s="15"/>
      <c r="C191" s="20"/>
      <c r="D191" s="20"/>
      <c r="E191" s="20"/>
      <c r="F191" s="20"/>
      <c r="G191" s="20"/>
      <c r="H191" s="20"/>
      <c r="I191" s="33"/>
      <c r="J191" s="33"/>
      <c r="K191" s="33"/>
      <c r="L191" s="20"/>
    </row>
    <row r="192" spans="1:12" ht="15.75" x14ac:dyDescent="0.25">
      <c r="A192" s="15"/>
      <c r="B192" s="15"/>
      <c r="C192" s="20"/>
      <c r="D192" s="20"/>
      <c r="E192" s="20"/>
      <c r="F192" s="20"/>
      <c r="G192" s="20"/>
      <c r="H192" s="20"/>
      <c r="I192" s="33"/>
      <c r="J192" s="33"/>
      <c r="K192" s="33"/>
      <c r="L192" s="20"/>
    </row>
    <row r="193" spans="1:12" ht="15.75" x14ac:dyDescent="0.25">
      <c r="A193" s="15"/>
      <c r="B193" s="15"/>
      <c r="C193" s="20"/>
      <c r="D193" s="20"/>
      <c r="E193" s="20"/>
      <c r="F193" s="20"/>
      <c r="G193" s="20"/>
      <c r="H193" s="20"/>
      <c r="I193" s="33"/>
      <c r="J193" s="33"/>
      <c r="K193" s="33"/>
      <c r="L193" s="20"/>
    </row>
    <row r="194" spans="1:12" ht="15.75" x14ac:dyDescent="0.25">
      <c r="A194" s="15"/>
      <c r="B194" s="15"/>
      <c r="C194" s="20"/>
      <c r="D194" s="20"/>
      <c r="E194" s="20"/>
      <c r="F194" s="20"/>
      <c r="G194" s="20"/>
      <c r="H194" s="20"/>
      <c r="I194" s="33"/>
      <c r="J194" s="33"/>
      <c r="K194" s="33"/>
      <c r="L194" s="20"/>
    </row>
    <row r="195" spans="1:12" ht="15.75" x14ac:dyDescent="0.25">
      <c r="A195" s="15"/>
      <c r="B195" s="15"/>
      <c r="C195" s="20"/>
      <c r="D195" s="20"/>
      <c r="E195" s="20"/>
      <c r="F195" s="20"/>
      <c r="G195" s="20"/>
      <c r="H195" s="20"/>
      <c r="I195" s="33"/>
      <c r="J195" s="33"/>
      <c r="K195" s="33"/>
      <c r="L195" s="20"/>
    </row>
    <row r="196" spans="1:12" ht="15.75" x14ac:dyDescent="0.25">
      <c r="A196" s="15"/>
      <c r="B196" s="15"/>
      <c r="C196" s="20"/>
      <c r="D196" s="20"/>
      <c r="E196" s="20"/>
      <c r="F196" s="20"/>
      <c r="G196" s="20"/>
      <c r="H196" s="20"/>
      <c r="I196" s="33"/>
      <c r="J196" s="33"/>
      <c r="K196" s="33"/>
      <c r="L196" s="20"/>
    </row>
    <row r="197" spans="1:12" ht="15.75" x14ac:dyDescent="0.25">
      <c r="A197" s="15"/>
      <c r="B197" s="15"/>
      <c r="C197" s="20"/>
      <c r="D197" s="20"/>
      <c r="E197" s="20"/>
      <c r="F197" s="20"/>
      <c r="G197" s="20"/>
      <c r="H197" s="20"/>
      <c r="I197" s="33"/>
      <c r="J197" s="33"/>
      <c r="K197" s="33"/>
      <c r="L197" s="20"/>
    </row>
    <row r="198" spans="1:12" ht="15.75" x14ac:dyDescent="0.25">
      <c r="A198" s="15"/>
      <c r="B198" s="15"/>
      <c r="C198" s="20"/>
      <c r="D198" s="20"/>
      <c r="E198" s="20"/>
      <c r="F198" s="20"/>
      <c r="G198" s="20"/>
      <c r="H198" s="20"/>
      <c r="I198" s="33"/>
      <c r="J198" s="33"/>
      <c r="K198" s="33"/>
      <c r="L198" s="20"/>
    </row>
    <row r="199" spans="1:12" ht="15.75" x14ac:dyDescent="0.25">
      <c r="A199" s="15"/>
      <c r="B199" s="15"/>
      <c r="C199" s="20"/>
      <c r="D199" s="20"/>
      <c r="E199" s="20"/>
      <c r="F199" s="20"/>
      <c r="G199" s="20"/>
      <c r="H199" s="20"/>
      <c r="I199" s="33"/>
      <c r="J199" s="33"/>
      <c r="K199" s="33"/>
      <c r="L199" s="20"/>
    </row>
    <row r="200" spans="1:12" ht="15.75" x14ac:dyDescent="0.25">
      <c r="A200" s="15"/>
      <c r="B200" s="15"/>
      <c r="C200" s="20"/>
      <c r="D200" s="20"/>
      <c r="E200" s="20"/>
      <c r="F200" s="20"/>
      <c r="G200" s="20"/>
      <c r="H200" s="20"/>
      <c r="I200" s="33"/>
      <c r="J200" s="33"/>
      <c r="K200" s="33"/>
      <c r="L200" s="20"/>
    </row>
    <row r="201" spans="1:12" ht="15.75" x14ac:dyDescent="0.25">
      <c r="A201" s="15"/>
      <c r="B201" s="15"/>
      <c r="C201" s="20"/>
      <c r="D201" s="20"/>
      <c r="E201" s="20"/>
      <c r="F201" s="20"/>
      <c r="G201" s="20"/>
      <c r="H201" s="20"/>
      <c r="I201" s="33"/>
      <c r="J201" s="33"/>
      <c r="K201" s="33"/>
      <c r="L201" s="20"/>
    </row>
    <row r="202" spans="1:12" ht="15.75" x14ac:dyDescent="0.25">
      <c r="A202" s="15"/>
      <c r="B202" s="15"/>
      <c r="C202" s="20"/>
      <c r="D202" s="20"/>
      <c r="E202" s="20"/>
      <c r="F202" s="20"/>
      <c r="G202" s="20"/>
      <c r="H202" s="20"/>
      <c r="I202" s="33"/>
      <c r="J202" s="33"/>
      <c r="K202" s="33"/>
      <c r="L202" s="20"/>
    </row>
    <row r="203" spans="1:12" ht="15.75" x14ac:dyDescent="0.25">
      <c r="A203" s="15"/>
      <c r="B203" s="15"/>
      <c r="C203" s="20"/>
      <c r="D203" s="20"/>
      <c r="E203" s="20"/>
      <c r="F203" s="20"/>
      <c r="G203" s="20"/>
      <c r="H203" s="20"/>
      <c r="I203" s="33"/>
      <c r="J203" s="33"/>
      <c r="K203" s="33"/>
      <c r="L203" s="20"/>
    </row>
    <row r="204" spans="1:12" ht="15.75" x14ac:dyDescent="0.25">
      <c r="A204" s="15"/>
      <c r="B204" s="15"/>
      <c r="C204" s="20"/>
      <c r="D204" s="20"/>
      <c r="E204" s="20"/>
      <c r="F204" s="20"/>
      <c r="G204" s="20"/>
      <c r="H204" s="20"/>
      <c r="I204" s="33"/>
      <c r="J204" s="33"/>
      <c r="K204" s="33"/>
      <c r="L204" s="20"/>
    </row>
    <row r="205" spans="1:12" ht="15.75" x14ac:dyDescent="0.25">
      <c r="A205" s="15"/>
      <c r="B205" s="15"/>
      <c r="C205" s="20"/>
      <c r="D205" s="20"/>
      <c r="E205" s="20"/>
      <c r="F205" s="20"/>
      <c r="G205" s="20"/>
      <c r="H205" s="20"/>
      <c r="I205" s="33"/>
      <c r="J205" s="33"/>
      <c r="K205" s="33"/>
      <c r="L205" s="20"/>
    </row>
    <row r="206" spans="1:12" ht="15.75" x14ac:dyDescent="0.25">
      <c r="A206" s="15"/>
      <c r="B206" s="15"/>
      <c r="C206" s="20"/>
      <c r="D206" s="20"/>
      <c r="E206" s="20"/>
      <c r="F206" s="20"/>
      <c r="G206" s="20"/>
      <c r="H206" s="20"/>
      <c r="I206" s="33"/>
      <c r="J206" s="33"/>
      <c r="K206" s="33"/>
      <c r="L206" s="20"/>
    </row>
    <row r="207" spans="1:12" ht="15.75" x14ac:dyDescent="0.25">
      <c r="A207" s="15"/>
      <c r="B207" s="15"/>
      <c r="C207" s="20"/>
      <c r="D207" s="20"/>
      <c r="E207" s="20"/>
      <c r="F207" s="20"/>
      <c r="G207" s="20"/>
      <c r="H207" s="20"/>
      <c r="I207" s="33"/>
      <c r="J207" s="33"/>
      <c r="K207" s="33"/>
      <c r="L207" s="20"/>
    </row>
    <row r="208" spans="1:12" ht="15.75" x14ac:dyDescent="0.25">
      <c r="A208" s="15"/>
      <c r="B208" s="15"/>
      <c r="C208" s="20"/>
      <c r="D208" s="20"/>
      <c r="E208" s="20"/>
      <c r="F208" s="20"/>
      <c r="G208" s="20"/>
      <c r="H208" s="20"/>
      <c r="I208" s="33"/>
      <c r="J208" s="33"/>
      <c r="K208" s="33"/>
      <c r="L208" s="20"/>
    </row>
    <row r="209" spans="1:12" ht="15.75" x14ac:dyDescent="0.25">
      <c r="A209" s="15"/>
      <c r="B209" s="15"/>
      <c r="C209" s="20"/>
      <c r="D209" s="20"/>
      <c r="E209" s="20"/>
      <c r="F209" s="20"/>
      <c r="G209" s="20"/>
      <c r="H209" s="20"/>
      <c r="I209" s="33"/>
      <c r="J209" s="33"/>
      <c r="K209" s="33"/>
      <c r="L209" s="20"/>
    </row>
    <row r="210" spans="1:12" ht="15.75" x14ac:dyDescent="0.25">
      <c r="A210" s="15"/>
      <c r="B210" s="15"/>
      <c r="C210" s="20"/>
      <c r="D210" s="20"/>
      <c r="E210" s="20"/>
      <c r="F210" s="20"/>
      <c r="G210" s="20"/>
      <c r="H210" s="20"/>
      <c r="I210" s="33"/>
      <c r="J210" s="33"/>
      <c r="K210" s="33"/>
      <c r="L210" s="20"/>
    </row>
    <row r="211" spans="1:12" ht="15.75" x14ac:dyDescent="0.25">
      <c r="A211" s="15"/>
      <c r="B211" s="15"/>
      <c r="C211" s="20"/>
      <c r="D211" s="20"/>
      <c r="E211" s="20"/>
      <c r="F211" s="20"/>
      <c r="G211" s="20"/>
      <c r="H211" s="20"/>
      <c r="I211" s="33"/>
      <c r="J211" s="33"/>
      <c r="K211" s="33"/>
      <c r="L211" s="20"/>
    </row>
    <row r="212" spans="1:12" ht="15.75" x14ac:dyDescent="0.25">
      <c r="A212" s="15"/>
      <c r="B212" s="15"/>
      <c r="C212" s="20"/>
      <c r="D212" s="20"/>
      <c r="E212" s="20"/>
      <c r="F212" s="20"/>
      <c r="G212" s="20"/>
      <c r="H212" s="20"/>
      <c r="I212" s="33"/>
      <c r="J212" s="33"/>
      <c r="K212" s="33"/>
      <c r="L212" s="20"/>
    </row>
    <row r="213" spans="1:12" ht="15.75" x14ac:dyDescent="0.25">
      <c r="A213" s="15"/>
      <c r="B213" s="15"/>
      <c r="C213" s="20"/>
      <c r="D213" s="20"/>
      <c r="E213" s="20"/>
      <c r="F213" s="20"/>
      <c r="G213" s="20"/>
      <c r="H213" s="20"/>
      <c r="I213" s="33"/>
      <c r="J213" s="33"/>
      <c r="K213" s="33"/>
      <c r="L213" s="20"/>
    </row>
    <row r="214" spans="1:12" ht="15.75" x14ac:dyDescent="0.25">
      <c r="A214" s="15"/>
      <c r="B214" s="15"/>
      <c r="C214" s="20"/>
      <c r="D214" s="20"/>
      <c r="E214" s="20"/>
      <c r="F214" s="20"/>
      <c r="G214" s="20"/>
      <c r="H214" s="20"/>
      <c r="I214" s="33"/>
      <c r="J214" s="33"/>
      <c r="K214" s="33"/>
      <c r="L214" s="20"/>
    </row>
    <row r="215" spans="1:12" ht="15.75" x14ac:dyDescent="0.25">
      <c r="A215" s="15"/>
      <c r="B215" s="15"/>
      <c r="C215" s="20"/>
      <c r="D215" s="20"/>
      <c r="E215" s="20"/>
      <c r="F215" s="20"/>
      <c r="G215" s="20"/>
      <c r="H215" s="20"/>
      <c r="I215" s="33"/>
      <c r="J215" s="33"/>
      <c r="K215" s="33"/>
      <c r="L215" s="20"/>
    </row>
    <row r="216" spans="1:12" ht="15.75" x14ac:dyDescent="0.25">
      <c r="A216" s="15"/>
      <c r="B216" s="15"/>
      <c r="C216" s="20"/>
      <c r="D216" s="20"/>
      <c r="E216" s="20"/>
      <c r="F216" s="20"/>
      <c r="G216" s="20"/>
      <c r="H216" s="20"/>
      <c r="I216" s="33"/>
      <c r="J216" s="33"/>
      <c r="K216" s="33"/>
      <c r="L216" s="20"/>
    </row>
    <row r="217" spans="1:12" ht="15.75" x14ac:dyDescent="0.25">
      <c r="A217" s="15"/>
      <c r="B217" s="15"/>
      <c r="C217" s="20"/>
      <c r="D217" s="20"/>
      <c r="E217" s="20"/>
      <c r="F217" s="20"/>
      <c r="G217" s="20"/>
      <c r="H217" s="20"/>
      <c r="I217" s="33"/>
      <c r="J217" s="33"/>
      <c r="K217" s="33"/>
      <c r="L217" s="20"/>
    </row>
    <row r="218" spans="1:12" ht="15.75" x14ac:dyDescent="0.25">
      <c r="A218" s="15"/>
      <c r="B218" s="15"/>
      <c r="C218" s="20"/>
      <c r="D218" s="20"/>
      <c r="E218" s="20"/>
      <c r="F218" s="20"/>
      <c r="G218" s="20"/>
      <c r="H218" s="20"/>
      <c r="I218" s="33"/>
      <c r="J218" s="33"/>
      <c r="K218" s="33"/>
      <c r="L218" s="20"/>
    </row>
    <row r="219" spans="1:12" ht="15.75" x14ac:dyDescent="0.25">
      <c r="A219" s="15"/>
      <c r="B219" s="15"/>
      <c r="C219" s="20"/>
      <c r="D219" s="20"/>
      <c r="E219" s="20"/>
      <c r="F219" s="20"/>
      <c r="G219" s="20"/>
      <c r="H219" s="20"/>
      <c r="I219" s="33"/>
      <c r="J219" s="33"/>
      <c r="K219" s="33"/>
      <c r="L219" s="20"/>
    </row>
    <row r="220" spans="1:12" ht="15.75" x14ac:dyDescent="0.25">
      <c r="A220" s="15"/>
      <c r="B220" s="15"/>
      <c r="C220" s="20"/>
      <c r="D220" s="20"/>
      <c r="E220" s="20"/>
      <c r="F220" s="20"/>
      <c r="G220" s="20"/>
      <c r="H220" s="20"/>
      <c r="I220" s="33"/>
      <c r="J220" s="33"/>
      <c r="K220" s="33"/>
      <c r="L220" s="20"/>
    </row>
    <row r="221" spans="1:12" ht="15.75" x14ac:dyDescent="0.25">
      <c r="A221" s="15"/>
      <c r="B221" s="15"/>
      <c r="C221" s="20"/>
      <c r="D221" s="20"/>
      <c r="E221" s="20"/>
      <c r="F221" s="20"/>
      <c r="G221" s="20"/>
      <c r="H221" s="20"/>
      <c r="I221" s="33"/>
      <c r="J221" s="33"/>
      <c r="K221" s="33"/>
      <c r="L221" s="20"/>
    </row>
    <row r="222" spans="1:12" ht="15.75" x14ac:dyDescent="0.25">
      <c r="A222" s="15"/>
      <c r="B222" s="15"/>
      <c r="C222" s="20"/>
      <c r="D222" s="20"/>
      <c r="E222" s="20"/>
      <c r="F222" s="20"/>
      <c r="G222" s="20"/>
      <c r="H222" s="20"/>
      <c r="I222" s="33"/>
      <c r="J222" s="33"/>
      <c r="K222" s="33"/>
      <c r="L222" s="20"/>
    </row>
    <row r="223" spans="1:12" ht="15.75" x14ac:dyDescent="0.25">
      <c r="A223" s="15"/>
      <c r="B223" s="15"/>
      <c r="C223" s="20"/>
      <c r="D223" s="20"/>
      <c r="E223" s="20"/>
      <c r="F223" s="20"/>
      <c r="G223" s="20"/>
      <c r="H223" s="20"/>
      <c r="I223" s="33"/>
      <c r="J223" s="33"/>
      <c r="K223" s="33"/>
      <c r="L223" s="20"/>
    </row>
    <row r="224" spans="1:12" ht="15.75" x14ac:dyDescent="0.25">
      <c r="A224" s="15"/>
      <c r="B224" s="15"/>
      <c r="C224" s="20"/>
      <c r="D224" s="20"/>
      <c r="E224" s="20"/>
      <c r="F224" s="20"/>
      <c r="G224" s="20"/>
      <c r="H224" s="20"/>
      <c r="I224" s="33"/>
      <c r="J224" s="33"/>
      <c r="K224" s="33"/>
      <c r="L224" s="20"/>
    </row>
    <row r="225" spans="1:12" ht="15.75" x14ac:dyDescent="0.25">
      <c r="A225" s="15"/>
      <c r="B225" s="15"/>
      <c r="C225" s="20"/>
      <c r="D225" s="20"/>
      <c r="E225" s="20"/>
      <c r="F225" s="20"/>
      <c r="G225" s="20"/>
      <c r="H225" s="20"/>
      <c r="I225" s="33"/>
      <c r="J225" s="33"/>
      <c r="K225" s="33"/>
      <c r="L225" s="20"/>
    </row>
    <row r="226" spans="1:12" ht="15.75" x14ac:dyDescent="0.25">
      <c r="A226" s="15"/>
      <c r="B226" s="15"/>
      <c r="C226" s="20"/>
      <c r="D226" s="20"/>
      <c r="E226" s="20"/>
      <c r="F226" s="20"/>
      <c r="G226" s="20"/>
      <c r="H226" s="20"/>
      <c r="I226" s="33"/>
      <c r="J226" s="33"/>
      <c r="K226" s="33"/>
      <c r="L226" s="20"/>
    </row>
    <row r="227" spans="1:12" ht="15.75" x14ac:dyDescent="0.25">
      <c r="A227" s="15"/>
      <c r="B227" s="15"/>
      <c r="C227" s="20"/>
      <c r="D227" s="20"/>
      <c r="E227" s="20"/>
      <c r="F227" s="20"/>
      <c r="G227" s="20"/>
      <c r="H227" s="20"/>
      <c r="I227" s="33"/>
      <c r="J227" s="33"/>
      <c r="K227" s="33"/>
      <c r="L227" s="20"/>
    </row>
    <row r="228" spans="1:12" ht="15.75" x14ac:dyDescent="0.25">
      <c r="A228" s="15"/>
      <c r="B228" s="15"/>
      <c r="C228" s="20"/>
      <c r="D228" s="20"/>
      <c r="E228" s="20"/>
      <c r="F228" s="20"/>
      <c r="G228" s="20"/>
      <c r="H228" s="20"/>
      <c r="I228" s="33"/>
      <c r="J228" s="33"/>
      <c r="K228" s="33"/>
      <c r="L228" s="20"/>
    </row>
    <row r="229" spans="1:12" ht="15.75" x14ac:dyDescent="0.25">
      <c r="A229" s="15"/>
      <c r="B229" s="15"/>
      <c r="C229" s="20"/>
      <c r="D229" s="20"/>
      <c r="E229" s="20"/>
      <c r="F229" s="20"/>
      <c r="G229" s="20"/>
      <c r="H229" s="20"/>
      <c r="I229" s="33"/>
      <c r="J229" s="33"/>
      <c r="K229" s="33"/>
      <c r="L229" s="20"/>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D27"/>
  <sheetViews>
    <sheetView showGridLines="0" topLeftCell="A7" workbookViewId="0">
      <selection activeCell="D22" sqref="D22"/>
    </sheetView>
  </sheetViews>
  <sheetFormatPr baseColWidth="10" defaultColWidth="11.42578125" defaultRowHeight="15" x14ac:dyDescent="0.25"/>
  <cols>
    <col min="1" max="1" width="11.42578125" style="1"/>
    <col min="2" max="2" width="52.5703125" style="1" bestFit="1" customWidth="1"/>
    <col min="3" max="3" width="11.42578125" style="1"/>
    <col min="4" max="4" width="16.28515625" style="9" customWidth="1"/>
    <col min="5" max="16384" width="11.42578125" style="1"/>
  </cols>
  <sheetData>
    <row r="2" spans="2:4" ht="15.75" x14ac:dyDescent="0.25">
      <c r="B2" s="297" t="s">
        <v>52</v>
      </c>
      <c r="C2" s="297"/>
      <c r="D2" s="297"/>
    </row>
    <row r="3" spans="2:4" ht="15.75" x14ac:dyDescent="0.25">
      <c r="B3" s="297" t="s">
        <v>459</v>
      </c>
      <c r="C3" s="297"/>
      <c r="D3" s="297"/>
    </row>
    <row r="4" spans="2:4" ht="15.75" x14ac:dyDescent="0.25">
      <c r="B4" s="214" t="s">
        <v>460</v>
      </c>
      <c r="C4" s="97"/>
      <c r="D4" s="216" t="s">
        <v>37</v>
      </c>
    </row>
    <row r="5" spans="2:4" ht="15.75" x14ac:dyDescent="0.25">
      <c r="B5" s="137" t="s">
        <v>461</v>
      </c>
      <c r="C5" s="137"/>
      <c r="D5" s="212">
        <v>0</v>
      </c>
    </row>
    <row r="6" spans="2:4" ht="15.75" x14ac:dyDescent="0.25">
      <c r="B6" s="137" t="s">
        <v>462</v>
      </c>
      <c r="C6" s="137"/>
      <c r="D6" s="212">
        <f>Tabla21Capital[[#Totals],[Total]]*10%</f>
        <v>17629988.849948879</v>
      </c>
    </row>
    <row r="7" spans="2:4" ht="15.75" x14ac:dyDescent="0.25">
      <c r="B7" s="137" t="s">
        <v>463</v>
      </c>
      <c r="C7" s="137"/>
      <c r="D7" s="212">
        <v>0</v>
      </c>
    </row>
    <row r="8" spans="2:4" ht="15.75" x14ac:dyDescent="0.25">
      <c r="B8" s="137" t="s">
        <v>464</v>
      </c>
      <c r="C8" s="137"/>
      <c r="D8" s="212">
        <f>Compras!G42</f>
        <v>593900</v>
      </c>
    </row>
    <row r="9" spans="2:4" ht="15.75" x14ac:dyDescent="0.25">
      <c r="B9" s="137" t="s">
        <v>465</v>
      </c>
      <c r="C9" s="137"/>
      <c r="D9" s="212"/>
    </row>
    <row r="10" spans="2:4" ht="15.75" x14ac:dyDescent="0.25">
      <c r="B10" s="137" t="s">
        <v>466</v>
      </c>
      <c r="C10" s="137"/>
      <c r="D10" s="212">
        <f>Tabla11Equipo[[#Totals],[Subtotal]]</f>
        <v>233800</v>
      </c>
    </row>
    <row r="11" spans="2:4" ht="15.75" x14ac:dyDescent="0.25">
      <c r="B11" s="137" t="s">
        <v>467</v>
      </c>
      <c r="C11" s="137"/>
      <c r="D11" s="212">
        <f>Tabla10Maquinaria[[#Totals],[Subtotal]]</f>
        <v>74515768</v>
      </c>
    </row>
    <row r="12" spans="2:4" ht="15.75" x14ac:dyDescent="0.25">
      <c r="B12" s="137" t="s">
        <v>468</v>
      </c>
      <c r="C12" s="137"/>
      <c r="D12" s="212">
        <f>Tabla12Computo[[#Totals],[Subtotal]]</f>
        <v>3118900</v>
      </c>
    </row>
    <row r="13" spans="2:4" ht="15.75" x14ac:dyDescent="0.25">
      <c r="B13" s="214" t="s">
        <v>469</v>
      </c>
      <c r="C13" s="214"/>
      <c r="D13" s="215">
        <f>SUM(D5:D12)</f>
        <v>96092356.849948883</v>
      </c>
    </row>
    <row r="14" spans="2:4" ht="15.75" x14ac:dyDescent="0.25">
      <c r="B14" s="137" t="s">
        <v>470</v>
      </c>
      <c r="C14" s="137"/>
      <c r="D14" s="212"/>
    </row>
    <row r="15" spans="2:4" ht="15.75" x14ac:dyDescent="0.25">
      <c r="B15" s="137" t="s">
        <v>471</v>
      </c>
      <c r="C15" s="137"/>
      <c r="D15" s="212">
        <f>Capital!D10</f>
        <v>70519955.399795517</v>
      </c>
    </row>
    <row r="16" spans="2:4" ht="15.75" x14ac:dyDescent="0.25">
      <c r="B16" s="137" t="s">
        <v>472</v>
      </c>
      <c r="C16" s="137"/>
      <c r="D16" s="212">
        <v>0</v>
      </c>
    </row>
    <row r="17" spans="2:4" ht="15.75" x14ac:dyDescent="0.25">
      <c r="B17" s="214" t="s">
        <v>473</v>
      </c>
      <c r="C17" s="214"/>
      <c r="D17" s="215">
        <f>SUM(D15:D16)</f>
        <v>70519955.399795517</v>
      </c>
    </row>
    <row r="18" spans="2:4" ht="15.75" x14ac:dyDescent="0.25">
      <c r="B18" s="137" t="s">
        <v>474</v>
      </c>
      <c r="C18" s="137"/>
      <c r="D18" s="212"/>
    </row>
    <row r="19" spans="2:4" ht="15.75" x14ac:dyDescent="0.25">
      <c r="B19" s="137" t="s">
        <v>475</v>
      </c>
      <c r="C19" s="137"/>
      <c r="D19" s="212">
        <f>(D13-D17)</f>
        <v>25572401.450153366</v>
      </c>
    </row>
    <row r="20" spans="2:4" ht="15.75" x14ac:dyDescent="0.25">
      <c r="B20" s="214" t="s">
        <v>476</v>
      </c>
      <c r="C20" s="214"/>
      <c r="D20" s="215">
        <f>D19</f>
        <v>25572401.450153366</v>
      </c>
    </row>
    <row r="21" spans="2:4" ht="15.75" x14ac:dyDescent="0.25">
      <c r="B21" s="137"/>
      <c r="C21" s="137"/>
      <c r="D21" s="212"/>
    </row>
    <row r="22" spans="2:4" ht="15.75" x14ac:dyDescent="0.25">
      <c r="B22" s="214" t="s">
        <v>477</v>
      </c>
      <c r="C22" s="214"/>
      <c r="D22" s="215">
        <f>D17+D20</f>
        <v>96092356.849948883</v>
      </c>
    </row>
    <row r="27" spans="2:4" x14ac:dyDescent="0.25">
      <c r="B27" s="8" t="s">
        <v>478</v>
      </c>
      <c r="D27" s="6" t="s">
        <v>479</v>
      </c>
    </row>
  </sheetData>
  <mergeCells count="2">
    <mergeCell ref="B2:D2"/>
    <mergeCell ref="B3:D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K29"/>
  <sheetViews>
    <sheetView showGridLines="0" workbookViewId="0">
      <selection activeCell="H9" sqref="H9"/>
    </sheetView>
  </sheetViews>
  <sheetFormatPr baseColWidth="10" defaultColWidth="11.42578125" defaultRowHeight="15" x14ac:dyDescent="0.25"/>
  <cols>
    <col min="1" max="1" width="11.42578125" style="1"/>
    <col min="2" max="2" width="35.28515625" style="1" bestFit="1" customWidth="1"/>
    <col min="3" max="7" width="17.7109375" style="2" bestFit="1" customWidth="1"/>
    <col min="8" max="8" width="16.85546875" style="1" customWidth="1"/>
    <col min="9" max="9" width="11.42578125" style="1"/>
    <col min="10" max="10" width="12" style="1" bestFit="1" customWidth="1"/>
    <col min="11" max="16384" width="11.42578125" style="1"/>
  </cols>
  <sheetData>
    <row r="2" spans="2:11" ht="15.75" x14ac:dyDescent="0.25">
      <c r="B2" s="297" t="s">
        <v>52</v>
      </c>
      <c r="C2" s="297"/>
      <c r="D2" s="297"/>
      <c r="E2" s="297"/>
      <c r="F2" s="297"/>
      <c r="G2" s="297"/>
      <c r="H2" s="97"/>
    </row>
    <row r="3" spans="2:11" ht="15.75" x14ac:dyDescent="0.25">
      <c r="B3" s="297" t="s">
        <v>480</v>
      </c>
      <c r="C3" s="297"/>
      <c r="D3" s="297"/>
      <c r="E3" s="297"/>
      <c r="F3" s="297"/>
      <c r="G3" s="297"/>
      <c r="H3" s="97"/>
    </row>
    <row r="4" spans="2:11" ht="15.75" x14ac:dyDescent="0.25">
      <c r="B4" s="97"/>
      <c r="C4" s="216" t="s">
        <v>37</v>
      </c>
      <c r="D4" s="216" t="s">
        <v>38</v>
      </c>
      <c r="E4" s="216" t="s">
        <v>39</v>
      </c>
      <c r="F4" s="216" t="s">
        <v>40</v>
      </c>
      <c r="G4" s="216" t="s">
        <v>41</v>
      </c>
      <c r="H4" s="221" t="s">
        <v>481</v>
      </c>
    </row>
    <row r="5" spans="2:11" ht="15.75" x14ac:dyDescent="0.25">
      <c r="B5" s="214" t="s">
        <v>482</v>
      </c>
      <c r="C5" s="213"/>
      <c r="D5" s="213"/>
      <c r="E5" s="213"/>
      <c r="F5" s="213"/>
      <c r="G5" s="213"/>
      <c r="H5" s="97"/>
    </row>
    <row r="6" spans="2:11" ht="15.75" x14ac:dyDescent="0.25">
      <c r="B6" s="137" t="s">
        <v>483</v>
      </c>
      <c r="C6" s="219">
        <f>Tabla7VentasAnual[Año 1]</f>
        <v>287921280.08871132</v>
      </c>
      <c r="D6" s="219">
        <f>Tabla7VentasAnual[Año 2]</f>
        <v>324112984.99586236</v>
      </c>
      <c r="E6" s="219">
        <f>Tabla7VentasAnual[Año 3]</f>
        <v>369002633.41778928</v>
      </c>
      <c r="F6" s="219">
        <f>Tabla7VentasAnual[Año 4]</f>
        <v>422471115.00002694</v>
      </c>
      <c r="G6" s="219">
        <f>Tabla7VentasAnual[Año 5]</f>
        <v>480645387.53553063</v>
      </c>
      <c r="H6" s="139"/>
    </row>
    <row r="7" spans="2:11" ht="15.75" x14ac:dyDescent="0.25">
      <c r="B7" s="137" t="s">
        <v>484</v>
      </c>
      <c r="C7" s="219">
        <f>SUM(C6)</f>
        <v>287921280.08871132</v>
      </c>
      <c r="D7" s="219">
        <f>SUM(D6)</f>
        <v>324112984.99586236</v>
      </c>
      <c r="E7" s="219">
        <f>SUM(E6)</f>
        <v>369002633.41778928</v>
      </c>
      <c r="F7" s="219">
        <f>SUM(F6)</f>
        <v>422471115.00002694</v>
      </c>
      <c r="G7" s="219">
        <f>SUM(G6)</f>
        <v>480645387.53553063</v>
      </c>
      <c r="H7" s="139"/>
    </row>
    <row r="8" spans="2:11" ht="15.75" x14ac:dyDescent="0.25">
      <c r="B8" s="214" t="s">
        <v>485</v>
      </c>
      <c r="C8" s="223"/>
      <c r="D8" s="223"/>
      <c r="E8" s="223"/>
      <c r="F8" s="223"/>
      <c r="G8" s="223"/>
      <c r="H8" s="224"/>
    </row>
    <row r="9" spans="2:11" ht="15.75" x14ac:dyDescent="0.25">
      <c r="B9" s="137" t="s">
        <v>486</v>
      </c>
      <c r="C9" s="219">
        <f>(H9*VentasAños!E12)+H9</f>
        <v>80322278.959199995</v>
      </c>
      <c r="D9" s="219">
        <f>(C9*VentasAños!E13)+C9</f>
        <v>86402675.476411432</v>
      </c>
      <c r="E9" s="219">
        <f>(D9*VentasAños!E14)+D9</f>
        <v>94049312.256073847</v>
      </c>
      <c r="F9" s="219">
        <f>(E9*VentasAños!E15)+E9</f>
        <v>102974591.98917526</v>
      </c>
      <c r="G9" s="219">
        <f>(F9*VentasAños!E16)+F9</f>
        <v>112005463.70662594</v>
      </c>
      <c r="H9" s="139">
        <f>Compras!G42+Tabla10Maquinaria[[#Totals],[Subtotal]]</f>
        <v>75109668</v>
      </c>
      <c r="I9" s="1" t="s">
        <v>578</v>
      </c>
    </row>
    <row r="10" spans="2:11" ht="15.75" x14ac:dyDescent="0.25">
      <c r="B10" s="137" t="s">
        <v>487</v>
      </c>
      <c r="C10" s="139">
        <f>SUM(C9)</f>
        <v>80322278.959199995</v>
      </c>
      <c r="D10" s="219">
        <f>SUM(D9)</f>
        <v>86402675.476411432</v>
      </c>
      <c r="E10" s="219">
        <f>SUM(E9)</f>
        <v>94049312.256073847</v>
      </c>
      <c r="F10" s="219">
        <f>SUM(F9)</f>
        <v>102974591.98917526</v>
      </c>
      <c r="G10" s="219">
        <f>SUM(G9)</f>
        <v>112005463.70662594</v>
      </c>
      <c r="H10" s="139"/>
    </row>
    <row r="11" spans="2:11" ht="15.75" x14ac:dyDescent="0.25">
      <c r="B11" s="137" t="s">
        <v>488</v>
      </c>
      <c r="C11" s="219">
        <f>C7-C10</f>
        <v>207599001.12951133</v>
      </c>
      <c r="D11" s="219">
        <f>D7-D10</f>
        <v>237710309.51945093</v>
      </c>
      <c r="E11" s="219">
        <f>E7-E10</f>
        <v>274953321.16171545</v>
      </c>
      <c r="F11" s="219">
        <f>F7-F10</f>
        <v>319496523.01085168</v>
      </c>
      <c r="G11" s="219">
        <f>G7-G10</f>
        <v>368639923.82890469</v>
      </c>
      <c r="H11" s="139"/>
    </row>
    <row r="12" spans="2:11" ht="15.75" x14ac:dyDescent="0.25">
      <c r="B12" s="137" t="s">
        <v>489</v>
      </c>
      <c r="C12" s="220">
        <f>C11/C7</f>
        <v>0.72102694550937008</v>
      </c>
      <c r="D12" s="220">
        <f t="shared" ref="D12:G12" si="0">D11/D7</f>
        <v>0.73341803791812155</v>
      </c>
      <c r="E12" s="220">
        <f t="shared" si="0"/>
        <v>0.74512563396914822</v>
      </c>
      <c r="F12" s="220">
        <f t="shared" si="0"/>
        <v>0.75625649107591963</v>
      </c>
      <c r="G12" s="220">
        <f t="shared" si="0"/>
        <v>0.76696860801905398</v>
      </c>
      <c r="H12" s="139"/>
    </row>
    <row r="13" spans="2:11" ht="15.75" x14ac:dyDescent="0.25">
      <c r="B13" s="214" t="s">
        <v>490</v>
      </c>
      <c r="C13" s="222"/>
      <c r="D13" s="222"/>
      <c r="E13" s="222"/>
      <c r="F13" s="222"/>
      <c r="G13" s="222"/>
      <c r="H13" s="100"/>
    </row>
    <row r="14" spans="2:11" ht="15.75" x14ac:dyDescent="0.25">
      <c r="B14" s="137" t="s">
        <v>491</v>
      </c>
      <c r="C14" s="219">
        <f>(H14*VentasAños!E12)+H14</f>
        <v>143431269.5165371</v>
      </c>
      <c r="D14" s="219">
        <f>(C14*VentasAños!E13)+C14</f>
        <v>154289016.61893895</v>
      </c>
      <c r="E14" s="219">
        <f>(D14*Tabla3[[#This Row],[%]])+D14</f>
        <v>167943594.58971506</v>
      </c>
      <c r="F14" s="219">
        <f>(E14*VentasAños!E15)+E14</f>
        <v>183881441.71627903</v>
      </c>
      <c r="G14" s="219">
        <f>(F14*VentasAños!E16)+F14</f>
        <v>200007844.15479669</v>
      </c>
      <c r="H14" s="139">
        <f>Nomina!J13</f>
        <v>134123124.66479999</v>
      </c>
    </row>
    <row r="15" spans="2:11" ht="15.75" x14ac:dyDescent="0.25">
      <c r="B15" s="137" t="s">
        <v>492</v>
      </c>
      <c r="C15" s="219">
        <f>Tabla13GastosAdm[[#Totals],[Año 1]]</f>
        <v>2235383.2459840002</v>
      </c>
      <c r="D15" s="219">
        <f>Tabla13GastosAdm[[#Totals],[Año 2]]</f>
        <v>2404601.7577049891</v>
      </c>
      <c r="E15" s="219">
        <f>Tabla13GastosAdm[[#Totals],[Año 3]]</f>
        <v>2617409.0132618807</v>
      </c>
      <c r="F15" s="219">
        <f>Tabla13GastosAdm[[#Totals],[Año 4]]</f>
        <v>2865801.1286204332</v>
      </c>
      <c r="G15" s="219">
        <f>Tabla13GastosAdm[[#Totals],[Año 5]]</f>
        <v>3117131.8876004452</v>
      </c>
      <c r="H15" s="139"/>
    </row>
    <row r="16" spans="2:11" ht="15.75" x14ac:dyDescent="0.25">
      <c r="B16" s="137" t="s">
        <v>493</v>
      </c>
      <c r="C16" s="219">
        <f>Tabla15GastosOpera[[#Totals],[Año 1]]</f>
        <v>49695845.511904769</v>
      </c>
      <c r="D16" s="219">
        <f>Tabla15GastosOpera[[#Totals],[Año 2]]</f>
        <v>53457821.01715596</v>
      </c>
      <c r="E16" s="219">
        <f>Tabla15GastosOpera[[#Totals],[Año 3]]</f>
        <v>58188838.177174263</v>
      </c>
      <c r="F16" s="219">
        <f>Tabla15GastosOpera[[#Totals],[Año 4]]</f>
        <v>63710958.920188092</v>
      </c>
      <c r="G16" s="219">
        <f>Tabla15GastosOpera[[#Totals],[Año 5]]</f>
        <v>69298410.017488599</v>
      </c>
      <c r="H16" s="139"/>
      <c r="I16" s="15"/>
      <c r="J16" s="15"/>
      <c r="K16" s="15"/>
    </row>
    <row r="17" spans="2:11" ht="15.75" x14ac:dyDescent="0.25">
      <c r="B17" s="137" t="s">
        <v>494</v>
      </c>
      <c r="C17" s="219">
        <f>Tabla14GastosVentas[[#Totals],[Año 1]]</f>
        <v>1198583.52</v>
      </c>
      <c r="D17" s="219">
        <f>Tabla14GastosVentas[[#Totals],[Año 2]]</f>
        <v>1289316.2924639999</v>
      </c>
      <c r="E17" s="219">
        <f>Tabla14GastosVentas[[#Totals],[Año 3]]</f>
        <v>1403420.7843470639</v>
      </c>
      <c r="F17" s="219">
        <f>Tabla14GastosVentas[[#Totals],[Año 4]]</f>
        <v>1536605.4167816001</v>
      </c>
      <c r="G17" s="219">
        <f>Tabla14GastosVentas[[#Totals],[Año 5]]</f>
        <v>1671365.7118333464</v>
      </c>
      <c r="H17" s="139"/>
      <c r="I17" s="15"/>
      <c r="J17" s="15"/>
      <c r="K17" s="15"/>
    </row>
    <row r="18" spans="2:11" ht="15.75" x14ac:dyDescent="0.25">
      <c r="B18" s="137" t="s">
        <v>285</v>
      </c>
      <c r="C18" s="219">
        <f>(H18*VentasAños!E12)+H18</f>
        <v>8463577.5152533352</v>
      </c>
      <c r="D18" s="219">
        <f>(C18*VentasAños!E13)+C18</f>
        <v>9104270.3331580125</v>
      </c>
      <c r="E18" s="219">
        <f>(D18*VentasAños!E14)+D18</f>
        <v>9909998.2576424964</v>
      </c>
      <c r="F18" s="219">
        <f>(E18*VentasAños!E15)+E18</f>
        <v>10850457.092292769</v>
      </c>
      <c r="G18" s="219">
        <f>(F18*VentasAños!E16)+F18</f>
        <v>11802042.179286845</v>
      </c>
      <c r="H18" s="139">
        <f>Tabla20Depre[[#Totals],[Depreciación
(Anual)]]</f>
        <v>7914323.4666666677</v>
      </c>
      <c r="I18" s="15"/>
      <c r="J18" s="15"/>
      <c r="K18" s="15"/>
    </row>
    <row r="19" spans="2:11" ht="15.75" x14ac:dyDescent="0.25">
      <c r="B19" s="214" t="s">
        <v>495</v>
      </c>
      <c r="C19" s="223">
        <f>(C11-C14-C15-C17-C18-C16)</f>
        <v>2574341.8198321164</v>
      </c>
      <c r="D19" s="223">
        <f>(D11-D14-D15-D17-D18-D16)</f>
        <v>17165283.500029013</v>
      </c>
      <c r="E19" s="223">
        <f t="shared" ref="E19:G19" si="1">(E11-E14-E15-E17-E18-E16)</f>
        <v>34890060.339574687</v>
      </c>
      <c r="F19" s="223">
        <f t="shared" si="1"/>
        <v>56651258.736689754</v>
      </c>
      <c r="G19" s="223">
        <f t="shared" si="1"/>
        <v>82743129.877898753</v>
      </c>
      <c r="H19" s="100"/>
      <c r="I19" s="15"/>
      <c r="J19" s="15"/>
      <c r="K19" s="15"/>
    </row>
    <row r="20" spans="2:11" ht="15.75" x14ac:dyDescent="0.25">
      <c r="B20" s="137" t="s">
        <v>496</v>
      </c>
      <c r="C20" s="219">
        <f>Amorti!K22</f>
        <v>10194100.302761691</v>
      </c>
      <c r="D20" s="219">
        <f>Amorti!K34</f>
        <v>7602491.9418192003</v>
      </c>
      <c r="E20" s="219">
        <f>Amorti!K46</f>
        <v>5010883.5808767118</v>
      </c>
      <c r="F20" s="219">
        <f>Amorti!K58</f>
        <v>2419275.2199342288</v>
      </c>
      <c r="G20" s="219">
        <v>0</v>
      </c>
      <c r="H20" s="139"/>
      <c r="I20" s="15"/>
      <c r="J20" s="96" t="s">
        <v>497</v>
      </c>
      <c r="K20" s="15" t="s">
        <v>498</v>
      </c>
    </row>
    <row r="21" spans="2:11" ht="15.75" x14ac:dyDescent="0.25">
      <c r="B21" s="137" t="s">
        <v>499</v>
      </c>
      <c r="C21" s="219">
        <f>(C19*$J$21)/1000</f>
        <v>24868.141979578246</v>
      </c>
      <c r="D21" s="219">
        <f>(D19*$J$21)/1000</f>
        <v>165816.63861028026</v>
      </c>
      <c r="E21" s="219">
        <f>(E19*$J$21)/1000</f>
        <v>337037.98288029147</v>
      </c>
      <c r="F21" s="219">
        <f t="shared" ref="F21:G21" si="2">(F19*$J$21)/1000</f>
        <v>547251.15939642303</v>
      </c>
      <c r="G21" s="219">
        <f t="shared" si="2"/>
        <v>799298.63462050201</v>
      </c>
      <c r="H21" s="139"/>
      <c r="I21" s="15"/>
      <c r="J21" s="96">
        <v>9.66</v>
      </c>
      <c r="K21" s="15"/>
    </row>
    <row r="22" spans="2:11" ht="15.75" x14ac:dyDescent="0.25">
      <c r="B22" s="137" t="s">
        <v>500</v>
      </c>
      <c r="C22" s="219">
        <f>(C19*35%)</f>
        <v>901019.63694124063</v>
      </c>
      <c r="D22" s="219">
        <f>(D19*35%)</f>
        <v>6007849.2250101538</v>
      </c>
      <c r="E22" s="219">
        <f t="shared" ref="E22:G22" si="3">(E19*35%)</f>
        <v>12211521.11885114</v>
      </c>
      <c r="F22" s="219">
        <f t="shared" si="3"/>
        <v>19827940.557841413</v>
      </c>
      <c r="G22" s="219">
        <f t="shared" si="3"/>
        <v>28960095.457264561</v>
      </c>
      <c r="H22" s="139"/>
      <c r="I22" s="15"/>
      <c r="J22" s="15"/>
      <c r="K22" s="15"/>
    </row>
    <row r="23" spans="2:11" ht="15.75" x14ac:dyDescent="0.25">
      <c r="B23" s="137" t="s">
        <v>501</v>
      </c>
      <c r="C23" s="219">
        <f>(H23*VentasAños!E12)+H23</f>
        <v>135813.79999999999</v>
      </c>
      <c r="D23" s="219">
        <f>(C23*VentasAños!E13)+C23</f>
        <v>146094.90466</v>
      </c>
      <c r="E23" s="219">
        <f>(D23*VentasAños!E14)+D23</f>
        <v>159024.30372241</v>
      </c>
      <c r="F23" s="219">
        <f>(E23*VentasAños!E15)+E23</f>
        <v>174115.7101456667</v>
      </c>
      <c r="G23" s="219">
        <f>(F23*VentasAños!E16)+F23</f>
        <v>189385.65792544166</v>
      </c>
      <c r="H23" s="139">
        <v>127000</v>
      </c>
      <c r="I23" s="15" t="s">
        <v>585</v>
      </c>
      <c r="J23" s="55"/>
      <c r="K23" s="15"/>
    </row>
    <row r="24" spans="2:11" ht="15.75" x14ac:dyDescent="0.25">
      <c r="B24" s="214" t="s">
        <v>502</v>
      </c>
      <c r="C24" s="223">
        <f>C19-C20-C21-C22-C23</f>
        <v>-8681460.0618503932</v>
      </c>
      <c r="D24" s="223">
        <f t="shared" ref="D24:G24" si="4">(D19-D20-D22-D21-D23)</f>
        <v>3243030.7899293783</v>
      </c>
      <c r="E24" s="223">
        <f t="shared" si="4"/>
        <v>17171593.353244133</v>
      </c>
      <c r="F24" s="223">
        <f>(F19-F20-F22-F21-F23)</f>
        <v>33682676.089372016</v>
      </c>
      <c r="G24" s="223">
        <f t="shared" si="4"/>
        <v>52794350.128088251</v>
      </c>
      <c r="H24" s="100"/>
      <c r="I24" s="57"/>
      <c r="J24" s="15"/>
      <c r="K24" s="15"/>
    </row>
    <row r="25" spans="2:11" ht="15.75" x14ac:dyDescent="0.25">
      <c r="I25" s="15"/>
      <c r="J25" s="15"/>
      <c r="K25" s="15"/>
    </row>
    <row r="26" spans="2:11" ht="15.75" x14ac:dyDescent="0.25">
      <c r="I26" s="15"/>
      <c r="J26" s="15"/>
      <c r="K26" s="15"/>
    </row>
    <row r="28" spans="2:11" x14ac:dyDescent="0.25">
      <c r="H28" s="49"/>
    </row>
    <row r="29" spans="2:11" x14ac:dyDescent="0.25">
      <c r="C29" s="6" t="s">
        <v>478</v>
      </c>
      <c r="F29" s="6" t="s">
        <v>479</v>
      </c>
    </row>
  </sheetData>
  <mergeCells count="2">
    <mergeCell ref="B2:G2"/>
    <mergeCell ref="B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H61"/>
  <sheetViews>
    <sheetView showGridLines="0" topLeftCell="B37" workbookViewId="0">
      <selection activeCell="D8" sqref="D8"/>
    </sheetView>
  </sheetViews>
  <sheetFormatPr baseColWidth="10" defaultColWidth="11.42578125" defaultRowHeight="15" x14ac:dyDescent="0.25"/>
  <cols>
    <col min="1" max="1" width="11.42578125" style="1"/>
    <col min="2" max="2" width="43.85546875" style="1" customWidth="1"/>
    <col min="3" max="3" width="20.5703125" style="9" bestFit="1" customWidth="1"/>
    <col min="4" max="4" width="29.42578125" style="9" customWidth="1"/>
    <col min="5" max="6" width="19" style="9" bestFit="1" customWidth="1"/>
    <col min="7" max="7" width="21.42578125" style="9" customWidth="1"/>
    <col min="8" max="8" width="21.5703125" style="9" customWidth="1"/>
    <col min="9" max="9" width="14" style="1" bestFit="1" customWidth="1"/>
    <col min="10" max="16384" width="11.42578125" style="1"/>
  </cols>
  <sheetData>
    <row r="2" spans="2:8" ht="15.75" x14ac:dyDescent="0.25">
      <c r="B2" s="298" t="s">
        <v>503</v>
      </c>
      <c r="C2" s="298"/>
      <c r="D2" s="298"/>
      <c r="E2" s="298"/>
      <c r="F2" s="298"/>
      <c r="G2" s="298"/>
      <c r="H2" s="298"/>
    </row>
    <row r="3" spans="2:8" ht="15.75" x14ac:dyDescent="0.25">
      <c r="B3" s="298" t="s">
        <v>504</v>
      </c>
      <c r="C3" s="298"/>
      <c r="D3" s="298"/>
      <c r="E3" s="298"/>
      <c r="F3" s="298"/>
      <c r="G3" s="298"/>
      <c r="H3" s="298"/>
    </row>
    <row r="4" spans="2:8" ht="15.75" x14ac:dyDescent="0.25">
      <c r="B4" s="96"/>
      <c r="C4" s="216" t="s">
        <v>224</v>
      </c>
      <c r="D4" s="216" t="s">
        <v>37</v>
      </c>
      <c r="E4" s="216" t="s">
        <v>38</v>
      </c>
      <c r="F4" s="216" t="s">
        <v>39</v>
      </c>
      <c r="G4" s="216" t="s">
        <v>40</v>
      </c>
      <c r="H4" s="216" t="s">
        <v>41</v>
      </c>
    </row>
    <row r="5" spans="2:8" ht="15.75" x14ac:dyDescent="0.25">
      <c r="B5" s="95" t="s">
        <v>505</v>
      </c>
      <c r="C5" s="226"/>
      <c r="D5" s="226"/>
      <c r="E5" s="226"/>
      <c r="F5" s="226"/>
      <c r="G5" s="226"/>
      <c r="H5" s="226"/>
    </row>
    <row r="6" spans="2:8" ht="15.75" x14ac:dyDescent="0.25">
      <c r="B6" s="83" t="s">
        <v>506</v>
      </c>
      <c r="C6" s="218"/>
      <c r="D6" s="218">
        <f>Tabla7VentasAnual[[#This Row],[Año 1]]</f>
        <v>287921280.08871132</v>
      </c>
      <c r="E6" s="218">
        <f>Tabla7VentasAnual[[#This Row],[Año 2]]</f>
        <v>324112984.99586236</v>
      </c>
      <c r="F6" s="218">
        <f>Tabla7VentasAnual[[#This Row],[Año 3]]</f>
        <v>369002633.41778928</v>
      </c>
      <c r="G6" s="218">
        <f>Tabla7VentasAnual[[#This Row],[Año 4]]</f>
        <v>422471115.00002694</v>
      </c>
      <c r="H6" s="218">
        <f>Tabla7VentasAnual[[#This Row],[Año 5]]</f>
        <v>480645387.53553063</v>
      </c>
    </row>
    <row r="7" spans="2:8" ht="15.75" x14ac:dyDescent="0.25">
      <c r="B7" s="83" t="s">
        <v>507</v>
      </c>
      <c r="C7" s="218">
        <v>0</v>
      </c>
      <c r="D7" s="218"/>
      <c r="E7" s="218"/>
      <c r="F7" s="218"/>
      <c r="G7" s="218"/>
      <c r="H7" s="218"/>
    </row>
    <row r="8" spans="2:8" ht="15.75" x14ac:dyDescent="0.25">
      <c r="B8" s="83" t="s">
        <v>508</v>
      </c>
      <c r="C8" s="218">
        <v>0</v>
      </c>
      <c r="D8" s="218">
        <f>ESF!D6</f>
        <v>17629988.849948879</v>
      </c>
      <c r="E8" s="218">
        <f>(D8*VentasAños!E13)+D8</f>
        <v>18964579.005890008</v>
      </c>
      <c r="F8" s="218">
        <f>(E8*VentasAños!E14)+E8</f>
        <v>20642944.247911274</v>
      </c>
      <c r="G8" s="218">
        <f>(F8*VentasAños!E15)+F8</f>
        <v>22601959.657038055</v>
      </c>
      <c r="H8" s="218">
        <f>(G8*VentasAños!E16)+G8</f>
        <v>24584151.518960293</v>
      </c>
    </row>
    <row r="9" spans="2:8" ht="15.75" x14ac:dyDescent="0.25">
      <c r="B9" s="83" t="s">
        <v>509</v>
      </c>
      <c r="C9" s="218">
        <f>Capital!D10</f>
        <v>70519955.399795517</v>
      </c>
      <c r="D9" s="218"/>
      <c r="E9" s="218"/>
      <c r="F9" s="218"/>
      <c r="G9" s="218"/>
      <c r="H9" s="218"/>
    </row>
    <row r="10" spans="2:8" ht="15.75" x14ac:dyDescent="0.25">
      <c r="B10" s="83" t="s">
        <v>510</v>
      </c>
      <c r="C10" s="218">
        <f>Capital!C9-C8</f>
        <v>105779933.09969325</v>
      </c>
      <c r="D10" s="218"/>
      <c r="E10" s="218"/>
      <c r="F10" s="218"/>
      <c r="G10" s="218"/>
      <c r="H10" s="218"/>
    </row>
    <row r="11" spans="2:8" ht="15.75" x14ac:dyDescent="0.25">
      <c r="B11" s="85" t="s">
        <v>511</v>
      </c>
      <c r="C11" s="225">
        <f>SUM(C8:C10)</f>
        <v>176299888.49948877</v>
      </c>
      <c r="D11" s="225">
        <f>SUM(D6:D10)</f>
        <v>305551268.9386602</v>
      </c>
      <c r="E11" s="225">
        <f>SUM(E6:E10)</f>
        <v>343077564.00175238</v>
      </c>
      <c r="F11" s="225">
        <f>SUM(F6:F10)</f>
        <v>389645577.66570055</v>
      </c>
      <c r="G11" s="225">
        <f>SUM(G6:G10)</f>
        <v>445073074.65706497</v>
      </c>
      <c r="H11" s="225">
        <f>SUM(H6:H10)</f>
        <v>505229539.05449092</v>
      </c>
    </row>
    <row r="12" spans="2:8" ht="15.75" x14ac:dyDescent="0.25">
      <c r="B12" s="95" t="s">
        <v>512</v>
      </c>
      <c r="C12" s="227"/>
      <c r="D12" s="227"/>
      <c r="E12" s="227"/>
      <c r="F12" s="227"/>
      <c r="G12" s="227"/>
      <c r="H12" s="227"/>
    </row>
    <row r="13" spans="2:8" ht="15.75" x14ac:dyDescent="0.25">
      <c r="B13" s="83" t="s">
        <v>513</v>
      </c>
      <c r="C13" s="218">
        <f>Capital!H8</f>
        <v>593900</v>
      </c>
      <c r="D13" s="218">
        <f>ER!C9</f>
        <v>80322278.959199995</v>
      </c>
      <c r="E13" s="218">
        <f>ER!D9</f>
        <v>86402675.476411432</v>
      </c>
      <c r="F13" s="218">
        <f>ER!E9</f>
        <v>94049312.256073847</v>
      </c>
      <c r="G13" s="218">
        <f>ER!F9</f>
        <v>102974591.98917526</v>
      </c>
      <c r="H13" s="218">
        <f>ER!G9</f>
        <v>112005463.70662594</v>
      </c>
    </row>
    <row r="14" spans="2:8" ht="15.75" x14ac:dyDescent="0.25">
      <c r="B14" s="83" t="s">
        <v>514</v>
      </c>
      <c r="C14" s="218"/>
      <c r="D14" s="218"/>
      <c r="E14" s="218"/>
      <c r="F14" s="218"/>
      <c r="G14" s="218"/>
      <c r="H14" s="218"/>
    </row>
    <row r="15" spans="2:8" ht="15.75" x14ac:dyDescent="0.25">
      <c r="B15" s="83" t="s">
        <v>515</v>
      </c>
      <c r="C15" s="218">
        <f>Capital!I6</f>
        <v>33572823.427939892</v>
      </c>
      <c r="D15" s="218">
        <f>ER!C15</f>
        <v>2235383.2459840002</v>
      </c>
      <c r="E15" s="218">
        <f>ER!D15</f>
        <v>2404601.7577049891</v>
      </c>
      <c r="F15" s="218">
        <f>ER!E15</f>
        <v>2617409.0132618807</v>
      </c>
      <c r="G15" s="218">
        <f>ER!F15</f>
        <v>2865801.1286204332</v>
      </c>
      <c r="H15" s="218">
        <f>ER!G15</f>
        <v>3117131.8876004452</v>
      </c>
    </row>
    <row r="16" spans="2:8" ht="15.75" x14ac:dyDescent="0.25">
      <c r="B16" s="83" t="s">
        <v>516</v>
      </c>
      <c r="C16" s="218"/>
      <c r="D16" s="218">
        <f>ER!C17</f>
        <v>1198583.52</v>
      </c>
      <c r="E16" s="218">
        <f>ER!D17</f>
        <v>1289316.2924639999</v>
      </c>
      <c r="F16" s="218">
        <f>ER!E17</f>
        <v>1403420.7843470639</v>
      </c>
      <c r="G16" s="218">
        <f>ER!F17</f>
        <v>1536605.4167816001</v>
      </c>
      <c r="H16" s="218">
        <f>ER!G17</f>
        <v>1671365.7118333464</v>
      </c>
    </row>
    <row r="17" spans="2:8" ht="15.75" x14ac:dyDescent="0.25">
      <c r="B17" s="83" t="s">
        <v>517</v>
      </c>
      <c r="C17" s="218">
        <f>Capital!H7</f>
        <v>44707708.221599996</v>
      </c>
      <c r="D17" s="218">
        <f>ER!C14</f>
        <v>143431269.5165371</v>
      </c>
      <c r="E17" s="218">
        <f>ER!D14</f>
        <v>154289016.61893895</v>
      </c>
      <c r="F17" s="218">
        <f>ER!E14</f>
        <v>167943594.58971506</v>
      </c>
      <c r="G17" s="218">
        <f>ER!F14</f>
        <v>183881441.71627903</v>
      </c>
      <c r="H17" s="218">
        <f>ER!G14</f>
        <v>200007844.15479669</v>
      </c>
    </row>
    <row r="18" spans="2:8" ht="15.75" x14ac:dyDescent="0.25">
      <c r="B18" s="83" t="s">
        <v>518</v>
      </c>
      <c r="C18" s="218">
        <f>Maquinas!F57</f>
        <v>77868468</v>
      </c>
      <c r="D18" s="218"/>
      <c r="E18" s="218"/>
      <c r="F18" s="218"/>
      <c r="G18" s="218"/>
      <c r="H18" s="218"/>
    </row>
    <row r="19" spans="2:8" ht="15.75" x14ac:dyDescent="0.25">
      <c r="B19" s="83" t="s">
        <v>579</v>
      </c>
      <c r="C19" s="218">
        <f>C50</f>
        <v>1927000</v>
      </c>
      <c r="D19" s="218"/>
      <c r="E19" s="218"/>
      <c r="F19" s="218"/>
      <c r="G19" s="218"/>
      <c r="H19" s="218"/>
    </row>
    <row r="20" spans="2:8" ht="15.75" x14ac:dyDescent="0.25">
      <c r="B20" s="83" t="s">
        <v>519</v>
      </c>
      <c r="C20" s="218"/>
      <c r="D20" s="218">
        <f>Amorti!I22</f>
        <v>9178612.9450046346</v>
      </c>
      <c r="E20" s="218">
        <f>Amorti!I34</f>
        <v>6587004.5840621451</v>
      </c>
      <c r="F20" s="218">
        <f>Amorti!I46</f>
        <v>3995396.2231196561</v>
      </c>
      <c r="G20" s="218">
        <f>Amorti!I58</f>
        <v>1403787.8621771734</v>
      </c>
      <c r="H20" s="218"/>
    </row>
    <row r="21" spans="2:8" ht="15.75" x14ac:dyDescent="0.25">
      <c r="B21" s="83" t="s">
        <v>520</v>
      </c>
      <c r="C21" s="218"/>
      <c r="D21" s="218">
        <f>Amorti!H22</f>
        <v>17629988.849948876</v>
      </c>
      <c r="E21" s="218">
        <f>Amorti!H34</f>
        <v>17629988.849948876</v>
      </c>
      <c r="F21" s="218">
        <f>Amorti!H46</f>
        <v>17629988.849948876</v>
      </c>
      <c r="G21" s="218">
        <f>Amorti!H58</f>
        <v>17629988.849948876</v>
      </c>
      <c r="H21" s="218"/>
    </row>
    <row r="22" spans="2:8" ht="15.75" x14ac:dyDescent="0.25">
      <c r="B22" s="83" t="s">
        <v>521</v>
      </c>
      <c r="C22" s="218"/>
      <c r="D22" s="218">
        <f>(ER!C21+ER!C22)</f>
        <v>925887.77892081894</v>
      </c>
      <c r="E22" s="218">
        <f>(ER!D21+ER!D22)</f>
        <v>6173665.863620434</v>
      </c>
      <c r="F22" s="218">
        <f>(ER!E21+ER!E22)</f>
        <v>12548559.101731431</v>
      </c>
      <c r="G22" s="218">
        <f>(ER!F21+ER!F22)</f>
        <v>20375191.717237838</v>
      </c>
      <c r="H22" s="218">
        <f>(ER!G21+ER!G22)</f>
        <v>29759394.091885064</v>
      </c>
    </row>
    <row r="23" spans="2:8" ht="15.75" x14ac:dyDescent="0.25">
      <c r="B23" s="83" t="s">
        <v>522</v>
      </c>
      <c r="C23" s="218"/>
      <c r="D23" s="218">
        <f>ER!C18</f>
        <v>8463577.5152533352</v>
      </c>
      <c r="E23" s="218">
        <f>ER!D18</f>
        <v>9104270.3331580125</v>
      </c>
      <c r="F23" s="218">
        <f>ER!E18</f>
        <v>9909998.2576424964</v>
      </c>
      <c r="G23" s="218">
        <f>ER!F18</f>
        <v>10850457.092292769</v>
      </c>
      <c r="H23" s="218">
        <f>ER!G18</f>
        <v>11802042.179286845</v>
      </c>
    </row>
    <row r="24" spans="2:8" ht="15.75" x14ac:dyDescent="0.25">
      <c r="B24" s="85" t="s">
        <v>523</v>
      </c>
      <c r="C24" s="225">
        <f t="shared" ref="C24:H24" si="0">SUM(C13:C23)</f>
        <v>158669899.64953989</v>
      </c>
      <c r="D24" s="225">
        <f t="shared" si="0"/>
        <v>263385582.33084878</v>
      </c>
      <c r="E24" s="225">
        <f t="shared" si="0"/>
        <v>283880539.77630889</v>
      </c>
      <c r="F24" s="225">
        <f t="shared" si="0"/>
        <v>310097679.07584035</v>
      </c>
      <c r="G24" s="225">
        <f t="shared" si="0"/>
        <v>341517865.77251303</v>
      </c>
      <c r="H24" s="225">
        <f t="shared" si="0"/>
        <v>358363241.73202837</v>
      </c>
    </row>
    <row r="25" spans="2:8" ht="15.75" x14ac:dyDescent="0.25">
      <c r="B25" s="95" t="s">
        <v>524</v>
      </c>
      <c r="C25" s="228">
        <f>C11-C24</f>
        <v>17629988.849948883</v>
      </c>
      <c r="D25" s="228">
        <f t="shared" ref="D25:H25" si="1">D11-D24</f>
        <v>42165686.607811421</v>
      </c>
      <c r="E25" s="228">
        <f t="shared" si="1"/>
        <v>59197024.225443482</v>
      </c>
      <c r="F25" s="228">
        <f t="shared" si="1"/>
        <v>79547898.589860201</v>
      </c>
      <c r="G25" s="228">
        <f t="shared" si="1"/>
        <v>103555208.88455194</v>
      </c>
      <c r="H25" s="228">
        <f t="shared" si="1"/>
        <v>146866297.32246256</v>
      </c>
    </row>
    <row r="26" spans="2:8" ht="15.75" x14ac:dyDescent="0.25">
      <c r="B26" s="15"/>
      <c r="C26" s="48"/>
      <c r="D26" s="272">
        <f>D25/D6</f>
        <v>0.14644866331109588</v>
      </c>
      <c r="E26" s="272">
        <f t="shared" ref="E26:H26" si="2">E25/E6</f>
        <v>0.18264317372597458</v>
      </c>
      <c r="F26" s="272">
        <f t="shared" si="2"/>
        <v>0.21557542246533265</v>
      </c>
      <c r="G26" s="272">
        <f t="shared" si="2"/>
        <v>0.2451178440555524</v>
      </c>
      <c r="H26" s="272">
        <f t="shared" si="2"/>
        <v>0.30556060898765164</v>
      </c>
    </row>
    <row r="27" spans="2:8" ht="15.75" x14ac:dyDescent="0.25">
      <c r="B27" s="96" t="s">
        <v>525</v>
      </c>
      <c r="C27" s="218">
        <f>Tabla21Capital[[#Totals],[Total]]</f>
        <v>176299888.49948877</v>
      </c>
      <c r="D27" s="217"/>
      <c r="E27" s="217"/>
      <c r="F27" s="217"/>
      <c r="G27" s="217"/>
      <c r="H27" s="217"/>
    </row>
    <row r="28" spans="2:8" ht="15.75" x14ac:dyDescent="0.25">
      <c r="B28" s="96" t="s">
        <v>526</v>
      </c>
      <c r="C28" s="235">
        <f>((C43+C42)/2)-0.02</f>
        <v>0.14530000000000001</v>
      </c>
      <c r="D28" s="200" t="s">
        <v>37</v>
      </c>
      <c r="E28" s="200" t="s">
        <v>38</v>
      </c>
      <c r="F28" s="200" t="s">
        <v>39</v>
      </c>
      <c r="G28" s="200" t="s">
        <v>40</v>
      </c>
      <c r="H28" s="200" t="s">
        <v>41</v>
      </c>
    </row>
    <row r="29" spans="2:8" ht="15.75" x14ac:dyDescent="0.25">
      <c r="B29" s="96" t="s">
        <v>527</v>
      </c>
      <c r="C29" s="218"/>
      <c r="D29" s="218">
        <f>D11</f>
        <v>305551268.9386602</v>
      </c>
      <c r="E29" s="218">
        <f>E11</f>
        <v>343077564.00175238</v>
      </c>
      <c r="F29" s="218">
        <f>F11</f>
        <v>389645577.66570055</v>
      </c>
      <c r="G29" s="218">
        <f>G11</f>
        <v>445073074.65706497</v>
      </c>
      <c r="H29" s="218">
        <f>H11</f>
        <v>505229539.05449092</v>
      </c>
    </row>
    <row r="30" spans="2:8" ht="15.75" x14ac:dyDescent="0.25">
      <c r="B30" s="96" t="s">
        <v>528</v>
      </c>
      <c r="C30" s="218"/>
      <c r="D30" s="218">
        <f t="shared" ref="D30:H31" si="3">D24</f>
        <v>263385582.33084878</v>
      </c>
      <c r="E30" s="218">
        <f t="shared" si="3"/>
        <v>283880539.77630889</v>
      </c>
      <c r="F30" s="218">
        <f t="shared" si="3"/>
        <v>310097679.07584035</v>
      </c>
      <c r="G30" s="218">
        <f t="shared" si="3"/>
        <v>341517865.77251303</v>
      </c>
      <c r="H30" s="218">
        <f t="shared" si="3"/>
        <v>358363241.73202837</v>
      </c>
    </row>
    <row r="31" spans="2:8" ht="15.75" x14ac:dyDescent="0.25">
      <c r="B31" s="96" t="s">
        <v>529</v>
      </c>
      <c r="C31" s="218">
        <f>-C27</f>
        <v>-176299888.49948877</v>
      </c>
      <c r="D31" s="218">
        <f t="shared" si="3"/>
        <v>42165686.607811421</v>
      </c>
      <c r="E31" s="218">
        <f t="shared" si="3"/>
        <v>59197024.225443482</v>
      </c>
      <c r="F31" s="218">
        <f t="shared" si="3"/>
        <v>79547898.589860201</v>
      </c>
      <c r="G31" s="218">
        <f t="shared" si="3"/>
        <v>103555208.88455194</v>
      </c>
      <c r="H31" s="218">
        <f t="shared" si="3"/>
        <v>146866297.32246256</v>
      </c>
    </row>
    <row r="32" spans="2:8" ht="15.75" x14ac:dyDescent="0.25">
      <c r="B32" s="96" t="s">
        <v>530</v>
      </c>
      <c r="C32" s="218"/>
      <c r="D32" s="218">
        <f>D31</f>
        <v>42165686.607811421</v>
      </c>
      <c r="E32" s="218">
        <f>E31+D32</f>
        <v>101362710.8332549</v>
      </c>
      <c r="F32" s="218">
        <f>F31+E32</f>
        <v>180910609.4231151</v>
      </c>
      <c r="G32" s="218">
        <f>G31+F32</f>
        <v>284465818.30766702</v>
      </c>
      <c r="H32" s="218">
        <f>H31+G32</f>
        <v>431332115.63012958</v>
      </c>
    </row>
    <row r="33" spans="2:8" ht="15.75" x14ac:dyDescent="0.25">
      <c r="B33" s="96" t="s">
        <v>531</v>
      </c>
      <c r="C33" s="218">
        <f>NPV(C28,D29:H29)</f>
        <v>1302761687.9849377</v>
      </c>
      <c r="D33" s="47"/>
      <c r="E33" s="47"/>
      <c r="F33" s="47"/>
      <c r="G33" s="47"/>
      <c r="H33" s="47"/>
    </row>
    <row r="34" spans="2:8" ht="15.75" x14ac:dyDescent="0.25">
      <c r="B34" s="96" t="s">
        <v>532</v>
      </c>
      <c r="C34" s="218">
        <f>NPV(C28,D30:H30)</f>
        <v>1033150200.7350411</v>
      </c>
      <c r="D34" s="47"/>
      <c r="E34" s="47"/>
      <c r="F34" s="47"/>
      <c r="G34" s="47"/>
      <c r="H34" s="47"/>
    </row>
    <row r="35" spans="2:8" ht="15.75" x14ac:dyDescent="0.25">
      <c r="B35" s="96" t="s">
        <v>533</v>
      </c>
      <c r="C35" s="218">
        <f>(C27+C34)</f>
        <v>1209450089.23453</v>
      </c>
      <c r="D35" s="47"/>
      <c r="E35" s="47"/>
      <c r="F35" s="47"/>
      <c r="G35" s="47"/>
      <c r="H35" s="47"/>
    </row>
    <row r="36" spans="2:8" ht="15.75" x14ac:dyDescent="0.25">
      <c r="B36" s="15"/>
      <c r="C36" s="48"/>
      <c r="D36" s="48"/>
      <c r="E36" s="48"/>
      <c r="F36" s="48"/>
      <c r="G36" s="48"/>
      <c r="H36" s="48"/>
    </row>
    <row r="37" spans="2:8" ht="15.75" x14ac:dyDescent="0.25">
      <c r="B37" s="15"/>
      <c r="C37" s="48"/>
      <c r="D37" s="48"/>
      <c r="E37" s="48"/>
      <c r="F37" s="46"/>
      <c r="G37" s="233" t="s">
        <v>534</v>
      </c>
      <c r="H37" s="230">
        <f>NPV(C28,D31:H31)</f>
        <v>269611487.24989623</v>
      </c>
    </row>
    <row r="38" spans="2:8" ht="15.75" x14ac:dyDescent="0.25">
      <c r="B38" s="15"/>
      <c r="C38" s="48"/>
      <c r="D38" s="48"/>
      <c r="E38" s="48"/>
      <c r="F38" s="46"/>
      <c r="G38" s="233" t="s">
        <v>535</v>
      </c>
      <c r="H38" s="231">
        <f>IRR(C31:H31)</f>
        <v>0.30757462082081033</v>
      </c>
    </row>
    <row r="39" spans="2:8" ht="31.5" x14ac:dyDescent="0.25">
      <c r="B39" s="15"/>
      <c r="C39" s="48"/>
      <c r="D39" s="48"/>
      <c r="E39" s="48"/>
      <c r="F39" s="46"/>
      <c r="G39" s="234" t="s">
        <v>536</v>
      </c>
      <c r="H39" s="229">
        <f>(C33/C35)</f>
        <v>1.0771520872014366</v>
      </c>
    </row>
    <row r="40" spans="2:8" ht="15.75" x14ac:dyDescent="0.25">
      <c r="B40" s="15"/>
      <c r="C40" s="48"/>
      <c r="D40" s="48"/>
      <c r="E40" s="48"/>
      <c r="F40" s="46"/>
      <c r="G40" s="233" t="s">
        <v>537</v>
      </c>
      <c r="H40" s="232">
        <f>5+((C27-E32)/H31)</f>
        <v>5.5102408042717954</v>
      </c>
    </row>
    <row r="41" spans="2:8" ht="15.75" x14ac:dyDescent="0.25">
      <c r="B41" s="15"/>
      <c r="C41" s="48"/>
      <c r="D41" s="299"/>
      <c r="E41" s="299"/>
      <c r="F41" s="46"/>
      <c r="G41" s="233"/>
      <c r="H41" s="225"/>
    </row>
    <row r="42" spans="2:8" ht="15.75" x14ac:dyDescent="0.25">
      <c r="B42" s="16" t="s">
        <v>580</v>
      </c>
      <c r="C42" s="278">
        <v>0.1343</v>
      </c>
      <c r="D42" s="279" t="s">
        <v>582</v>
      </c>
      <c r="E42" s="275"/>
      <c r="F42" s="48"/>
      <c r="G42" s="48"/>
      <c r="H42" s="48"/>
    </row>
    <row r="43" spans="2:8" ht="15.75" x14ac:dyDescent="0.25">
      <c r="B43" s="16" t="s">
        <v>581</v>
      </c>
      <c r="C43" s="278">
        <v>0.1963</v>
      </c>
      <c r="D43" s="279" t="s">
        <v>582</v>
      </c>
      <c r="E43" s="275"/>
      <c r="F43" s="48"/>
      <c r="G43" s="48"/>
      <c r="H43" s="48"/>
    </row>
    <row r="44" spans="2:8" ht="15.75" x14ac:dyDescent="0.25">
      <c r="B44" s="15"/>
      <c r="C44" s="48"/>
      <c r="D44" s="274"/>
      <c r="E44" s="275"/>
      <c r="F44" s="48"/>
      <c r="G44" s="48"/>
      <c r="H44" s="48"/>
    </row>
    <row r="45" spans="2:8" ht="15.75" x14ac:dyDescent="0.25">
      <c r="B45" s="15"/>
      <c r="C45" s="48"/>
      <c r="D45" s="276"/>
      <c r="E45" s="277"/>
      <c r="F45" s="48"/>
      <c r="G45" s="48"/>
      <c r="H45" s="48"/>
    </row>
    <row r="46" spans="2:8" ht="15.75" x14ac:dyDescent="0.25">
      <c r="B46" s="16" t="s">
        <v>583</v>
      </c>
      <c r="C46" s="280">
        <v>200000</v>
      </c>
      <c r="D46" s="276"/>
      <c r="E46" s="277"/>
      <c r="F46" s="48"/>
      <c r="G46" s="48"/>
      <c r="H46" s="48"/>
    </row>
    <row r="47" spans="2:8" ht="15.75" x14ac:dyDescent="0.25">
      <c r="B47" s="16" t="s">
        <v>584</v>
      </c>
      <c r="C47" s="280">
        <v>100000</v>
      </c>
      <c r="D47" s="48"/>
      <c r="E47" s="48"/>
      <c r="F47" s="48"/>
      <c r="G47" s="48"/>
      <c r="H47" s="48"/>
    </row>
    <row r="48" spans="2:8" ht="15.75" x14ac:dyDescent="0.25">
      <c r="B48" s="16" t="s">
        <v>586</v>
      </c>
      <c r="C48" s="280">
        <v>127000</v>
      </c>
      <c r="D48" s="48"/>
      <c r="E48" s="48"/>
      <c r="F48" s="48"/>
      <c r="G48" s="48"/>
      <c r="H48" s="48"/>
    </row>
    <row r="49" spans="2:8" ht="15.75" x14ac:dyDescent="0.25">
      <c r="B49" s="16" t="s">
        <v>587</v>
      </c>
      <c r="C49" s="280">
        <v>1500000</v>
      </c>
      <c r="D49" s="48"/>
      <c r="E49" s="48"/>
      <c r="F49" s="48"/>
      <c r="G49" s="48"/>
      <c r="H49" s="48"/>
    </row>
    <row r="50" spans="2:8" ht="15.75" x14ac:dyDescent="0.25">
      <c r="B50" s="16" t="s">
        <v>588</v>
      </c>
      <c r="C50" s="280">
        <f>SUM(C46:C49)</f>
        <v>1927000</v>
      </c>
      <c r="D50" s="48"/>
      <c r="E50" s="48"/>
      <c r="F50" s="48"/>
      <c r="G50" s="48"/>
      <c r="H50" s="48"/>
    </row>
    <row r="51" spans="2:8" ht="15.75" x14ac:dyDescent="0.25">
      <c r="B51" s="15"/>
      <c r="C51" s="48"/>
      <c r="D51" s="48"/>
      <c r="E51" s="48"/>
      <c r="F51" s="48"/>
      <c r="G51" s="48"/>
      <c r="H51" s="48"/>
    </row>
    <row r="52" spans="2:8" ht="15.75" x14ac:dyDescent="0.25">
      <c r="B52" s="15"/>
      <c r="C52" s="48"/>
      <c r="D52" s="48"/>
      <c r="E52" s="48"/>
      <c r="F52" s="48"/>
      <c r="G52" s="48"/>
      <c r="H52" s="48"/>
    </row>
    <row r="53" spans="2:8" ht="15.75" x14ac:dyDescent="0.25">
      <c r="B53" s="15"/>
      <c r="C53" s="48"/>
      <c r="D53" s="48"/>
      <c r="E53" s="48"/>
      <c r="F53" s="48"/>
      <c r="G53" s="48"/>
      <c r="H53" s="48"/>
    </row>
    <row r="54" spans="2:8" ht="15.75" x14ac:dyDescent="0.25">
      <c r="B54" s="15"/>
      <c r="C54" s="48"/>
      <c r="D54" s="48"/>
      <c r="E54" s="48"/>
      <c r="F54" s="48"/>
      <c r="G54" s="48"/>
      <c r="H54" s="48"/>
    </row>
    <row r="55" spans="2:8" ht="15.75" x14ac:dyDescent="0.25">
      <c r="B55" s="15"/>
      <c r="C55" s="48"/>
      <c r="D55" s="48"/>
      <c r="E55" s="48"/>
      <c r="F55" s="48"/>
      <c r="G55" s="48"/>
      <c r="H55" s="48"/>
    </row>
    <row r="56" spans="2:8" ht="15.75" x14ac:dyDescent="0.25">
      <c r="B56" s="15"/>
      <c r="C56" s="48"/>
      <c r="D56" s="48"/>
      <c r="E56" s="48"/>
      <c r="F56" s="48"/>
      <c r="G56" s="48"/>
      <c r="H56" s="48"/>
    </row>
    <row r="57" spans="2:8" ht="15.75" x14ac:dyDescent="0.25">
      <c r="B57" s="15"/>
      <c r="C57" s="48"/>
      <c r="D57" s="48"/>
      <c r="E57" s="48"/>
      <c r="F57" s="48"/>
      <c r="G57" s="48"/>
      <c r="H57" s="48"/>
    </row>
    <row r="58" spans="2:8" ht="15.75" x14ac:dyDescent="0.25">
      <c r="B58" s="15"/>
      <c r="C58" s="48"/>
      <c r="D58" s="48"/>
      <c r="E58" s="48"/>
      <c r="F58" s="48"/>
      <c r="G58" s="48"/>
      <c r="H58" s="48"/>
    </row>
    <row r="59" spans="2:8" ht="15.75" x14ac:dyDescent="0.25">
      <c r="B59" s="15"/>
      <c r="C59" s="48"/>
      <c r="D59" s="48"/>
      <c r="E59" s="48"/>
      <c r="F59" s="48"/>
      <c r="G59" s="48"/>
      <c r="H59" s="48"/>
    </row>
    <row r="60" spans="2:8" ht="15.75" x14ac:dyDescent="0.25">
      <c r="B60" s="15"/>
      <c r="C60" s="48"/>
      <c r="D60" s="48"/>
      <c r="E60" s="48"/>
      <c r="F60" s="48"/>
      <c r="G60" s="48"/>
      <c r="H60" s="48"/>
    </row>
    <row r="61" spans="2:8" ht="15.75" x14ac:dyDescent="0.25">
      <c r="B61" s="15"/>
      <c r="C61" s="48"/>
      <c r="D61" s="48"/>
      <c r="E61" s="48"/>
      <c r="F61" s="48"/>
      <c r="G61" s="48"/>
      <c r="H61" s="48"/>
    </row>
  </sheetData>
  <mergeCells count="3">
    <mergeCell ref="B3:H3"/>
    <mergeCell ref="B2:H2"/>
    <mergeCell ref="D41:E4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227"/>
  <sheetViews>
    <sheetView showGridLines="0" topLeftCell="B1" workbookViewId="0">
      <selection activeCell="G14" sqref="G14"/>
    </sheetView>
  </sheetViews>
  <sheetFormatPr baseColWidth="10" defaultColWidth="11.42578125" defaultRowHeight="15" x14ac:dyDescent="0.25"/>
  <cols>
    <col min="1" max="1" width="11.42578125" style="1"/>
    <col min="2" max="2" width="37.85546875" style="1" bestFit="1" customWidth="1"/>
    <col min="3" max="3" width="27.140625" style="1" bestFit="1" customWidth="1"/>
    <col min="4" max="4" width="1.85546875" style="1" bestFit="1" customWidth="1"/>
    <col min="5" max="5" width="27.140625" style="1" bestFit="1" customWidth="1"/>
    <col min="6" max="6" width="22.7109375" style="1" customWidth="1"/>
    <col min="7" max="7" width="15.85546875" style="1" bestFit="1" customWidth="1"/>
    <col min="8" max="16384" width="11.42578125" style="1"/>
  </cols>
  <sheetData>
    <row r="1" spans="1:8" ht="15.75" x14ac:dyDescent="0.25">
      <c r="A1" s="15"/>
      <c r="B1" s="15"/>
      <c r="C1" s="15"/>
      <c r="D1" s="15"/>
      <c r="E1" s="15"/>
      <c r="F1" s="15"/>
      <c r="G1" s="15"/>
      <c r="H1" s="15"/>
    </row>
    <row r="2" spans="1:8" ht="15.75" x14ac:dyDescent="0.25">
      <c r="A2" s="15"/>
      <c r="B2" s="19" t="s">
        <v>538</v>
      </c>
      <c r="C2" s="15"/>
      <c r="D2" s="15"/>
      <c r="E2" s="15"/>
      <c r="F2" s="15"/>
      <c r="G2" s="15"/>
      <c r="H2" s="15"/>
    </row>
    <row r="3" spans="1:8" ht="15.75" x14ac:dyDescent="0.25">
      <c r="A3" s="15"/>
      <c r="B3" s="19" t="s">
        <v>504</v>
      </c>
      <c r="C3" s="15"/>
      <c r="D3" s="15"/>
      <c r="E3" s="15"/>
      <c r="F3" s="15"/>
      <c r="G3" s="15"/>
      <c r="H3" s="15"/>
    </row>
    <row r="4" spans="1:8" ht="15.75" x14ac:dyDescent="0.25">
      <c r="A4" s="15"/>
      <c r="B4" s="15"/>
      <c r="C4" s="15"/>
      <c r="D4" s="15"/>
      <c r="E4" s="15"/>
      <c r="F4" s="15"/>
      <c r="G4" s="15"/>
      <c r="H4" s="15"/>
    </row>
    <row r="5" spans="1:8" ht="15.75" x14ac:dyDescent="0.25">
      <c r="A5" s="15"/>
      <c r="B5" s="50" t="s">
        <v>539</v>
      </c>
      <c r="C5" s="50" t="s">
        <v>540</v>
      </c>
      <c r="D5" s="50" t="s">
        <v>541</v>
      </c>
      <c r="E5" s="50" t="s">
        <v>542</v>
      </c>
      <c r="F5" s="15"/>
      <c r="G5" s="15"/>
      <c r="H5" s="15"/>
    </row>
    <row r="6" spans="1:8" ht="15.75" x14ac:dyDescent="0.25">
      <c r="A6" s="15"/>
      <c r="B6" s="15"/>
      <c r="C6" s="15"/>
      <c r="D6" s="15"/>
      <c r="E6" s="15"/>
      <c r="F6" s="15"/>
      <c r="G6" s="15"/>
      <c r="H6" s="15"/>
    </row>
    <row r="7" spans="1:8" ht="15.75" x14ac:dyDescent="0.25">
      <c r="A7" s="15"/>
      <c r="B7" s="19" t="s">
        <v>543</v>
      </c>
      <c r="C7" s="15"/>
      <c r="D7" s="15"/>
      <c r="E7" s="15"/>
      <c r="F7" s="15"/>
      <c r="G7" s="15"/>
      <c r="H7" s="15"/>
    </row>
    <row r="8" spans="1:8" ht="15.75" x14ac:dyDescent="0.25">
      <c r="A8" s="15"/>
      <c r="B8" s="19" t="s">
        <v>544</v>
      </c>
      <c r="C8" s="15"/>
      <c r="D8" s="15"/>
      <c r="E8" s="15"/>
      <c r="F8" s="19" t="s">
        <v>545</v>
      </c>
      <c r="G8" s="15"/>
      <c r="H8" s="15"/>
    </row>
    <row r="9" spans="1:8" ht="15.75" x14ac:dyDescent="0.25">
      <c r="A9" s="15"/>
      <c r="B9" s="236" t="s">
        <v>546</v>
      </c>
      <c r="C9" s="237">
        <f>Nomina!C6+Nomina!C7+Nomina!C8+Tabla8Nomina[[#This Row],[Valor
Sueldo]]+Nomina!C10</f>
        <v>7320000</v>
      </c>
      <c r="D9" s="15"/>
      <c r="E9" s="15"/>
      <c r="F9" s="236" t="s">
        <v>547</v>
      </c>
      <c r="G9" s="240">
        <f>(Compras!G42)/G18</f>
        <v>2232.0574394690793</v>
      </c>
      <c r="H9" s="15"/>
    </row>
    <row r="10" spans="1:8" ht="15.75" x14ac:dyDescent="0.25">
      <c r="A10" s="15"/>
      <c r="B10" s="238" t="s">
        <v>226</v>
      </c>
      <c r="C10" s="239">
        <f>Gastos!C7</f>
        <v>50000</v>
      </c>
      <c r="D10" s="15"/>
      <c r="E10" s="15"/>
      <c r="F10" s="143" t="s">
        <v>548</v>
      </c>
      <c r="G10" s="241">
        <f>(Nomina!C8+Nomina!C9+Nomina!C7)/G18</f>
        <v>16235.878327170269</v>
      </c>
      <c r="H10" s="15"/>
    </row>
    <row r="11" spans="1:8" ht="15.75" x14ac:dyDescent="0.25">
      <c r="A11" s="15"/>
      <c r="B11" s="238" t="s">
        <v>227</v>
      </c>
      <c r="C11" s="239">
        <f>Gastos!C8</f>
        <v>124192.94666666667</v>
      </c>
      <c r="D11" s="15"/>
      <c r="E11" s="15"/>
      <c r="F11" s="83" t="s">
        <v>66</v>
      </c>
      <c r="G11" s="87">
        <f>SUM(G9:G10)</f>
        <v>18467.935766639348</v>
      </c>
      <c r="H11" s="15"/>
    </row>
    <row r="12" spans="1:8" ht="15.75" x14ac:dyDescent="0.25">
      <c r="A12" s="15"/>
      <c r="B12" s="238" t="s">
        <v>229</v>
      </c>
      <c r="C12" s="239">
        <f>Tabla14GastosVentas[Costo (Mes)]</f>
        <v>93400</v>
      </c>
      <c r="D12" s="15"/>
      <c r="E12" s="15"/>
      <c r="F12" s="15"/>
      <c r="G12" s="20"/>
      <c r="H12" s="15"/>
    </row>
    <row r="13" spans="1:8" ht="15.75" x14ac:dyDescent="0.25">
      <c r="A13" s="15"/>
      <c r="B13" s="238" t="s">
        <v>231</v>
      </c>
      <c r="C13" s="239">
        <f>Gastos!C18</f>
        <v>3382564.4841269846</v>
      </c>
      <c r="D13" s="15"/>
      <c r="E13" s="15"/>
      <c r="F13" s="242" t="s">
        <v>549</v>
      </c>
      <c r="G13" s="240">
        <v>107810</v>
      </c>
      <c r="H13" s="15"/>
    </row>
    <row r="14" spans="1:8" ht="15.75" x14ac:dyDescent="0.25">
      <c r="A14" s="15"/>
      <c r="B14" s="238" t="s">
        <v>232</v>
      </c>
      <c r="C14" s="239">
        <f>Gastos!C19</f>
        <v>60000</v>
      </c>
      <c r="D14" s="15"/>
      <c r="E14" s="15"/>
      <c r="F14" s="83" t="s">
        <v>66</v>
      </c>
      <c r="G14" s="88">
        <f>SUM(G13)</f>
        <v>107810</v>
      </c>
      <c r="H14" s="15"/>
    </row>
    <row r="15" spans="1:8" ht="15.75" x14ac:dyDescent="0.25">
      <c r="A15" s="15"/>
      <c r="B15" s="238" t="s">
        <v>233</v>
      </c>
      <c r="C15" s="239">
        <f>Gastos!C20</f>
        <v>110000</v>
      </c>
      <c r="D15" s="15"/>
      <c r="E15" s="15"/>
      <c r="F15" s="15"/>
      <c r="G15" s="20"/>
      <c r="H15" s="15"/>
    </row>
    <row r="16" spans="1:8" ht="15.75" x14ac:dyDescent="0.25">
      <c r="A16" s="15"/>
      <c r="B16" s="238" t="s">
        <v>227</v>
      </c>
      <c r="C16" s="239">
        <v>0</v>
      </c>
      <c r="D16" s="15"/>
      <c r="E16" s="15"/>
      <c r="F16" s="243" t="s">
        <v>550</v>
      </c>
      <c r="G16" s="160">
        <f>(C23/(G14-G11))</f>
        <v>130.48332585983428</v>
      </c>
      <c r="H16" s="15"/>
    </row>
    <row r="17" spans="1:8" ht="15.75" x14ac:dyDescent="0.25">
      <c r="A17" s="15"/>
      <c r="B17" s="238" t="s">
        <v>234</v>
      </c>
      <c r="C17" s="239">
        <f>Gastos!C21</f>
        <v>250000</v>
      </c>
      <c r="D17" s="15"/>
      <c r="E17" s="15"/>
      <c r="F17" s="15"/>
      <c r="G17" s="15"/>
      <c r="H17" s="15"/>
    </row>
    <row r="18" spans="1:8" ht="15.75" x14ac:dyDescent="0.25">
      <c r="A18" s="15"/>
      <c r="B18" s="238" t="s">
        <v>235</v>
      </c>
      <c r="C18" s="239">
        <f>Gastos!C22</f>
        <v>40000</v>
      </c>
      <c r="D18" s="15"/>
      <c r="E18" s="15"/>
      <c r="F18" s="51" t="s">
        <v>551</v>
      </c>
      <c r="G18" s="52">
        <f>VentasMes!C7</f>
        <v>266.07738201453543</v>
      </c>
      <c r="H18" s="15"/>
    </row>
    <row r="19" spans="1:8" ht="15.75" x14ac:dyDescent="0.25">
      <c r="A19" s="15"/>
      <c r="B19" s="238" t="s">
        <v>236</v>
      </c>
      <c r="C19" s="239">
        <f>Gastos!C23</f>
        <v>30000</v>
      </c>
      <c r="D19" s="15"/>
      <c r="E19" s="15"/>
      <c r="F19" s="15"/>
      <c r="G19" s="15"/>
      <c r="H19" s="15"/>
    </row>
    <row r="20" spans="1:8" ht="15.75" x14ac:dyDescent="0.25">
      <c r="A20" s="15"/>
      <c r="B20" s="238" t="s">
        <v>552</v>
      </c>
      <c r="C20" s="239">
        <f>ER!C22/12</f>
        <v>75084.969745103386</v>
      </c>
      <c r="D20" s="15"/>
      <c r="E20" s="15"/>
      <c r="F20" s="15"/>
      <c r="G20" s="15"/>
      <c r="H20" s="15"/>
    </row>
    <row r="21" spans="1:8" ht="15.75" x14ac:dyDescent="0.25">
      <c r="A21" s="15"/>
      <c r="B21" s="238" t="s">
        <v>406</v>
      </c>
      <c r="C21" s="239">
        <f>Amorti!C8</f>
        <v>84623.94647975461</v>
      </c>
      <c r="D21" s="15"/>
      <c r="E21" s="15"/>
      <c r="F21" s="15"/>
      <c r="G21" s="15"/>
      <c r="H21" s="15"/>
    </row>
    <row r="22" spans="1:8" ht="15.75" x14ac:dyDescent="0.25">
      <c r="A22" s="15"/>
      <c r="B22" s="238" t="s">
        <v>553</v>
      </c>
      <c r="C22" s="239">
        <f>Compras!G15+Compras!G30</f>
        <v>37783.333333333336</v>
      </c>
      <c r="D22" s="15"/>
      <c r="E22" s="15"/>
      <c r="F22" s="15"/>
      <c r="G22" s="15"/>
      <c r="H22" s="15"/>
    </row>
    <row r="23" spans="1:8" ht="15.75" x14ac:dyDescent="0.25">
      <c r="A23" s="15"/>
      <c r="B23" s="96" t="s">
        <v>66</v>
      </c>
      <c r="C23" s="108">
        <f>SUM(C9:C22)</f>
        <v>11657649.680351842</v>
      </c>
      <c r="D23" s="15"/>
      <c r="E23" s="15"/>
      <c r="F23" s="15"/>
      <c r="G23" s="15"/>
      <c r="H23" s="15"/>
    </row>
    <row r="24" spans="1:8" ht="15.75" x14ac:dyDescent="0.25">
      <c r="A24" s="15"/>
      <c r="B24" s="15"/>
      <c r="C24" s="15"/>
      <c r="D24" s="15"/>
      <c r="E24" s="15"/>
      <c r="F24" s="15"/>
      <c r="G24" s="15"/>
      <c r="H24" s="15"/>
    </row>
    <row r="25" spans="1:8" ht="15.75" x14ac:dyDescent="0.25">
      <c r="A25" s="15"/>
      <c r="B25" s="19" t="s">
        <v>554</v>
      </c>
      <c r="C25" s="15"/>
      <c r="D25" s="15"/>
      <c r="E25" s="15"/>
      <c r="F25" s="15"/>
      <c r="G25" s="15"/>
      <c r="H25" s="15"/>
    </row>
    <row r="26" spans="1:8" ht="15.75" x14ac:dyDescent="0.25">
      <c r="A26" s="15"/>
      <c r="B26" s="19"/>
      <c r="C26" s="15"/>
      <c r="D26" s="15"/>
      <c r="E26" s="15"/>
      <c r="F26" s="15"/>
      <c r="G26" s="15"/>
      <c r="H26" s="15"/>
    </row>
    <row r="27" spans="1:8" x14ac:dyDescent="0.25">
      <c r="B27" s="4"/>
    </row>
    <row r="28" spans="1:8" ht="15.75" x14ac:dyDescent="0.25">
      <c r="B28" s="15"/>
      <c r="C28" s="57"/>
      <c r="F28" s="19"/>
      <c r="G28" s="15"/>
    </row>
    <row r="29" spans="1:8" ht="15.75" x14ac:dyDescent="0.25">
      <c r="B29" s="15"/>
      <c r="C29" s="31"/>
      <c r="F29" s="15"/>
      <c r="G29" s="31"/>
    </row>
    <row r="30" spans="1:8" ht="15.75" x14ac:dyDescent="0.25">
      <c r="B30" s="15"/>
      <c r="C30" s="31"/>
      <c r="F30" s="15"/>
      <c r="G30" s="31"/>
    </row>
    <row r="31" spans="1:8" ht="15.75" x14ac:dyDescent="0.25">
      <c r="B31" s="15"/>
      <c r="C31" s="31"/>
      <c r="F31" s="15"/>
      <c r="G31" s="55"/>
    </row>
    <row r="32" spans="1:8" ht="15.75" x14ac:dyDescent="0.25">
      <c r="B32" s="15"/>
      <c r="C32" s="31"/>
      <c r="F32" s="15"/>
      <c r="G32" s="15"/>
    </row>
    <row r="33" spans="2:11" ht="15.75" x14ac:dyDescent="0.25">
      <c r="B33" s="15"/>
      <c r="C33" s="31"/>
      <c r="F33" s="19"/>
      <c r="G33" s="31"/>
    </row>
    <row r="34" spans="2:11" ht="15.75" x14ac:dyDescent="0.25">
      <c r="B34" s="15"/>
      <c r="C34" s="31"/>
      <c r="F34" s="15"/>
      <c r="G34" s="31"/>
    </row>
    <row r="35" spans="2:11" ht="15.75" x14ac:dyDescent="0.25">
      <c r="B35" s="15"/>
      <c r="C35" s="31"/>
      <c r="F35" s="15"/>
      <c r="G35" s="15"/>
    </row>
    <row r="36" spans="2:11" ht="15.75" x14ac:dyDescent="0.25">
      <c r="B36" s="15"/>
      <c r="C36" s="31"/>
      <c r="F36" s="15"/>
      <c r="G36" s="56"/>
    </row>
    <row r="37" spans="2:11" ht="15.75" x14ac:dyDescent="0.25">
      <c r="B37" s="15"/>
      <c r="C37" s="31"/>
      <c r="F37" s="15"/>
      <c r="G37" s="15"/>
    </row>
    <row r="38" spans="2:11" ht="15.75" x14ac:dyDescent="0.25">
      <c r="B38" s="15"/>
      <c r="C38" s="31"/>
      <c r="F38" s="15"/>
      <c r="G38" s="15"/>
    </row>
    <row r="39" spans="2:11" ht="15.75" x14ac:dyDescent="0.25">
      <c r="B39" s="15"/>
      <c r="C39" s="31"/>
    </row>
    <row r="40" spans="2:11" ht="15.75" x14ac:dyDescent="0.25">
      <c r="B40" s="15"/>
      <c r="C40" s="31"/>
    </row>
    <row r="41" spans="2:11" ht="15.75" x14ac:dyDescent="0.25">
      <c r="B41" s="15"/>
      <c r="C41" s="31"/>
    </row>
    <row r="42" spans="2:11" ht="15.75" x14ac:dyDescent="0.25">
      <c r="B42" s="15"/>
      <c r="C42" s="31"/>
    </row>
    <row r="44" spans="2:11" ht="15.75" x14ac:dyDescent="0.25">
      <c r="B44" s="15"/>
      <c r="C44" s="15"/>
      <c r="D44" s="15"/>
      <c r="E44" s="15"/>
      <c r="F44" s="15"/>
      <c r="G44" s="15"/>
      <c r="H44" s="15"/>
      <c r="I44" s="15"/>
      <c r="J44" s="15"/>
      <c r="K44" s="15"/>
    </row>
    <row r="45" spans="2:11" ht="15.75" x14ac:dyDescent="0.25">
      <c r="B45" s="19"/>
      <c r="C45" s="15"/>
      <c r="D45" s="15"/>
      <c r="E45" s="15"/>
      <c r="F45" s="15"/>
      <c r="G45" s="15"/>
      <c r="H45" s="15"/>
      <c r="I45" s="15"/>
      <c r="J45" s="15"/>
      <c r="K45" s="15"/>
    </row>
    <row r="46" spans="2:11" ht="15.75" x14ac:dyDescent="0.25">
      <c r="B46" s="4"/>
      <c r="D46" s="15"/>
      <c r="E46" s="15"/>
      <c r="F46" s="15"/>
      <c r="G46" s="15"/>
      <c r="H46" s="15"/>
      <c r="I46" s="15"/>
      <c r="J46" s="15"/>
      <c r="K46" s="15"/>
    </row>
    <row r="47" spans="2:11" ht="15.75" x14ac:dyDescent="0.25">
      <c r="B47" s="15"/>
      <c r="C47" s="15"/>
      <c r="D47" s="15"/>
      <c r="E47" s="15"/>
      <c r="F47" s="19"/>
      <c r="G47" s="15"/>
      <c r="H47" s="15"/>
      <c r="I47" s="15"/>
      <c r="J47" s="15"/>
      <c r="K47" s="15"/>
    </row>
    <row r="48" spans="2:11" ht="15.75" x14ac:dyDescent="0.25">
      <c r="B48" s="15"/>
      <c r="C48" s="31"/>
      <c r="D48" s="15"/>
      <c r="E48" s="15"/>
      <c r="F48" s="15"/>
      <c r="G48" s="31"/>
      <c r="H48" s="15"/>
      <c r="I48" s="15"/>
      <c r="J48" s="15"/>
      <c r="K48" s="15"/>
    </row>
    <row r="49" spans="2:11" ht="15.75" x14ac:dyDescent="0.25">
      <c r="B49" s="15"/>
      <c r="C49" s="31"/>
      <c r="D49" s="15"/>
      <c r="E49" s="15"/>
      <c r="F49" s="15"/>
      <c r="G49" s="31"/>
      <c r="H49" s="15"/>
      <c r="I49" s="15"/>
      <c r="J49" s="15"/>
      <c r="K49" s="15"/>
    </row>
    <row r="50" spans="2:11" ht="15.75" x14ac:dyDescent="0.25">
      <c r="B50" s="15"/>
      <c r="C50" s="31"/>
      <c r="D50" s="15"/>
      <c r="E50" s="15"/>
      <c r="F50" s="15"/>
      <c r="G50" s="55"/>
      <c r="H50" s="15"/>
      <c r="I50" s="15"/>
      <c r="J50" s="15"/>
      <c r="K50" s="15"/>
    </row>
    <row r="51" spans="2:11" ht="15.75" x14ac:dyDescent="0.25">
      <c r="B51" s="15"/>
      <c r="C51" s="31"/>
      <c r="D51" s="15"/>
      <c r="E51" s="15"/>
      <c r="F51" s="15"/>
      <c r="G51" s="15"/>
      <c r="H51" s="15"/>
      <c r="I51" s="15"/>
      <c r="J51" s="15"/>
      <c r="K51" s="15"/>
    </row>
    <row r="52" spans="2:11" ht="15.75" x14ac:dyDescent="0.25">
      <c r="B52" s="15"/>
      <c r="C52" s="31"/>
      <c r="D52" s="15"/>
      <c r="E52" s="15"/>
      <c r="F52" s="19"/>
      <c r="G52" s="31"/>
      <c r="H52" s="15"/>
      <c r="I52" s="15"/>
      <c r="J52" s="15"/>
      <c r="K52" s="15"/>
    </row>
    <row r="53" spans="2:11" ht="15.75" x14ac:dyDescent="0.25">
      <c r="B53" s="15"/>
      <c r="C53" s="31"/>
      <c r="D53" s="15"/>
      <c r="E53" s="15"/>
      <c r="F53" s="15"/>
      <c r="G53" s="31"/>
      <c r="H53" s="15"/>
      <c r="I53" s="15"/>
      <c r="J53" s="15"/>
      <c r="K53" s="15"/>
    </row>
    <row r="54" spans="2:11" ht="15.75" x14ac:dyDescent="0.25">
      <c r="B54" s="15"/>
      <c r="C54" s="31"/>
      <c r="D54" s="15"/>
      <c r="E54" s="15"/>
      <c r="F54" s="15"/>
      <c r="G54" s="15"/>
      <c r="H54" s="15"/>
      <c r="I54" s="15"/>
      <c r="J54" s="15"/>
      <c r="K54" s="15"/>
    </row>
    <row r="55" spans="2:11" ht="15.75" x14ac:dyDescent="0.25">
      <c r="B55" s="15"/>
      <c r="C55" s="31"/>
      <c r="D55" s="15"/>
      <c r="E55" s="15"/>
      <c r="F55" s="15"/>
      <c r="G55" s="56"/>
      <c r="H55" s="15"/>
      <c r="I55" s="15"/>
      <c r="J55" s="15"/>
      <c r="K55" s="15"/>
    </row>
    <row r="56" spans="2:11" ht="15.75" x14ac:dyDescent="0.25">
      <c r="B56" s="15"/>
      <c r="C56" s="31"/>
      <c r="D56" s="15"/>
      <c r="E56" s="15"/>
      <c r="F56" s="15"/>
      <c r="G56" s="15"/>
      <c r="H56" s="15"/>
      <c r="I56" s="15"/>
      <c r="J56" s="15"/>
      <c r="K56" s="15"/>
    </row>
    <row r="57" spans="2:11" ht="15.75" x14ac:dyDescent="0.25">
      <c r="B57" s="15"/>
      <c r="C57" s="31"/>
      <c r="D57" s="15"/>
      <c r="E57" s="15"/>
      <c r="F57" s="15"/>
      <c r="G57" s="15"/>
      <c r="H57" s="15"/>
      <c r="I57" s="15"/>
      <c r="J57" s="15"/>
      <c r="K57" s="15"/>
    </row>
    <row r="58" spans="2:11" ht="15.75" x14ac:dyDescent="0.25">
      <c r="B58" s="15"/>
      <c r="C58" s="31"/>
      <c r="D58" s="15"/>
      <c r="E58" s="15"/>
      <c r="F58" s="15"/>
      <c r="G58" s="15"/>
      <c r="H58" s="15"/>
      <c r="I58" s="15"/>
      <c r="J58" s="15"/>
      <c r="K58" s="15"/>
    </row>
    <row r="59" spans="2:11" ht="15.75" x14ac:dyDescent="0.25">
      <c r="B59" s="15"/>
      <c r="C59" s="31"/>
      <c r="D59" s="15"/>
      <c r="E59" s="15"/>
      <c r="F59" s="15"/>
      <c r="G59" s="15"/>
      <c r="H59" s="15"/>
      <c r="I59" s="15"/>
      <c r="J59" s="15"/>
      <c r="K59" s="15"/>
    </row>
    <row r="60" spans="2:11" ht="15.75" x14ac:dyDescent="0.25">
      <c r="B60" s="15"/>
      <c r="C60" s="31"/>
      <c r="D60" s="15"/>
      <c r="E60" s="15"/>
      <c r="F60" s="15"/>
      <c r="G60" s="15"/>
      <c r="H60" s="15"/>
      <c r="I60" s="15"/>
      <c r="J60" s="15"/>
      <c r="K60" s="15"/>
    </row>
    <row r="61" spans="2:11" ht="15.75" x14ac:dyDescent="0.25">
      <c r="B61" s="15" t="s">
        <v>66</v>
      </c>
      <c r="C61" s="31">
        <f>SUM(C48:C60)</f>
        <v>0</v>
      </c>
      <c r="D61" s="15"/>
      <c r="E61" s="15"/>
      <c r="F61" s="15"/>
      <c r="G61" s="15"/>
      <c r="H61" s="15"/>
      <c r="I61" s="15"/>
      <c r="J61" s="15"/>
      <c r="K61" s="15"/>
    </row>
    <row r="62" spans="2:11" ht="15.75" x14ac:dyDescent="0.25">
      <c r="B62" s="15"/>
      <c r="C62" s="15"/>
      <c r="D62" s="15"/>
      <c r="E62" s="15"/>
      <c r="F62" s="15"/>
      <c r="G62" s="15"/>
      <c r="H62" s="15"/>
      <c r="I62" s="15"/>
      <c r="J62" s="15"/>
      <c r="K62" s="15"/>
    </row>
    <row r="63" spans="2:11" ht="15.75" x14ac:dyDescent="0.25">
      <c r="B63" s="15"/>
      <c r="C63" s="15"/>
      <c r="D63" s="15"/>
      <c r="E63" s="15"/>
      <c r="F63" s="15"/>
      <c r="G63" s="15"/>
      <c r="H63" s="15"/>
      <c r="I63" s="15"/>
      <c r="J63" s="15"/>
      <c r="K63" s="15"/>
    </row>
    <row r="64" spans="2:11" ht="15.75" x14ac:dyDescent="0.25">
      <c r="B64" s="15"/>
      <c r="C64" s="15"/>
      <c r="D64" s="15"/>
      <c r="E64" s="15"/>
      <c r="F64" s="15"/>
      <c r="G64" s="15"/>
      <c r="H64" s="15"/>
      <c r="I64" s="15"/>
      <c r="J64" s="15"/>
      <c r="K64" s="15"/>
    </row>
    <row r="65" spans="2:11" ht="15.75" x14ac:dyDescent="0.25">
      <c r="B65" s="15"/>
      <c r="C65" s="15"/>
      <c r="D65" s="15"/>
      <c r="E65" s="15"/>
      <c r="F65" s="15"/>
      <c r="G65" s="15"/>
      <c r="H65" s="15"/>
      <c r="I65" s="15"/>
      <c r="J65" s="15"/>
      <c r="K65" s="15"/>
    </row>
    <row r="66" spans="2:11" ht="15.75" x14ac:dyDescent="0.25">
      <c r="B66" s="15"/>
      <c r="C66" s="15"/>
      <c r="D66" s="15"/>
      <c r="E66" s="15"/>
      <c r="F66" s="15"/>
      <c r="G66" s="15"/>
      <c r="H66" s="15"/>
      <c r="I66" s="15"/>
      <c r="J66" s="15"/>
      <c r="K66" s="15"/>
    </row>
    <row r="67" spans="2:11" ht="15.75" x14ac:dyDescent="0.25">
      <c r="B67" s="15"/>
      <c r="C67" s="15"/>
      <c r="D67" s="15"/>
      <c r="E67" s="15"/>
      <c r="F67" s="15"/>
      <c r="G67" s="15"/>
      <c r="H67" s="15"/>
      <c r="I67" s="15"/>
      <c r="J67" s="15"/>
      <c r="K67" s="15"/>
    </row>
    <row r="68" spans="2:11" ht="15.75" x14ac:dyDescent="0.25">
      <c r="B68" s="15"/>
      <c r="C68" s="15"/>
      <c r="D68" s="15"/>
      <c r="E68" s="15"/>
      <c r="F68" s="15"/>
      <c r="G68" s="15"/>
      <c r="H68" s="15"/>
      <c r="I68" s="15"/>
      <c r="J68" s="15"/>
      <c r="K68" s="15"/>
    </row>
    <row r="69" spans="2:11" ht="15.75" x14ac:dyDescent="0.25">
      <c r="B69" s="15"/>
      <c r="C69" s="15"/>
      <c r="D69" s="15"/>
      <c r="E69" s="15"/>
      <c r="F69" s="15"/>
      <c r="G69" s="15"/>
      <c r="H69" s="15"/>
      <c r="I69" s="15"/>
      <c r="J69" s="15"/>
      <c r="K69" s="15"/>
    </row>
    <row r="70" spans="2:11" ht="15.75" x14ac:dyDescent="0.25">
      <c r="B70" s="15"/>
      <c r="C70" s="15"/>
      <c r="D70" s="15"/>
      <c r="E70" s="15"/>
      <c r="F70" s="15"/>
      <c r="G70" s="15"/>
      <c r="H70" s="15"/>
      <c r="I70" s="15"/>
      <c r="J70" s="15"/>
      <c r="K70" s="15"/>
    </row>
    <row r="71" spans="2:11" ht="15.75" x14ac:dyDescent="0.25">
      <c r="B71" s="15"/>
      <c r="C71" s="15"/>
      <c r="D71" s="15"/>
      <c r="E71" s="15"/>
      <c r="F71" s="15"/>
      <c r="G71" s="15"/>
      <c r="H71" s="15"/>
      <c r="I71" s="15"/>
      <c r="J71" s="15"/>
      <c r="K71" s="15"/>
    </row>
    <row r="72" spans="2:11" ht="15.75" x14ac:dyDescent="0.25">
      <c r="B72" s="15"/>
      <c r="C72" s="15"/>
      <c r="D72" s="15"/>
      <c r="E72" s="15"/>
      <c r="F72" s="15"/>
      <c r="G72" s="15"/>
      <c r="H72" s="15"/>
      <c r="I72" s="15"/>
      <c r="J72" s="15"/>
      <c r="K72" s="15"/>
    </row>
    <row r="73" spans="2:11" ht="15.75" x14ac:dyDescent="0.25">
      <c r="B73" s="15"/>
      <c r="C73" s="15"/>
      <c r="D73" s="15"/>
      <c r="E73" s="15"/>
      <c r="F73" s="15"/>
      <c r="G73" s="15"/>
      <c r="H73" s="15"/>
      <c r="I73" s="15"/>
      <c r="J73" s="15"/>
      <c r="K73" s="15"/>
    </row>
    <row r="74" spans="2:11" ht="15.75" x14ac:dyDescent="0.25">
      <c r="B74" s="15"/>
      <c r="C74" s="15"/>
      <c r="D74" s="15"/>
      <c r="E74" s="15"/>
      <c r="F74" s="15"/>
      <c r="G74" s="15"/>
      <c r="H74" s="15"/>
      <c r="I74" s="15"/>
      <c r="J74" s="15"/>
      <c r="K74" s="15"/>
    </row>
    <row r="75" spans="2:11" ht="15.75" x14ac:dyDescent="0.25">
      <c r="B75" s="15"/>
      <c r="C75" s="15"/>
      <c r="D75" s="15"/>
      <c r="E75" s="15"/>
      <c r="F75" s="15"/>
      <c r="G75" s="15"/>
      <c r="H75" s="15"/>
      <c r="I75" s="15"/>
      <c r="J75" s="15"/>
      <c r="K75" s="15"/>
    </row>
    <row r="76" spans="2:11" ht="15.75" x14ac:dyDescent="0.25">
      <c r="B76" s="15"/>
      <c r="C76" s="15"/>
      <c r="D76" s="15"/>
      <c r="E76" s="15"/>
      <c r="F76" s="15"/>
      <c r="G76" s="15"/>
      <c r="H76" s="15"/>
      <c r="I76" s="15"/>
      <c r="J76" s="15"/>
      <c r="K76" s="15"/>
    </row>
    <row r="77" spans="2:11" ht="15.75" x14ac:dyDescent="0.25">
      <c r="B77" s="15"/>
      <c r="C77" s="15"/>
      <c r="D77" s="15"/>
      <c r="E77" s="15"/>
      <c r="F77" s="15"/>
      <c r="G77" s="15"/>
      <c r="H77" s="15"/>
      <c r="I77" s="15"/>
      <c r="J77" s="15"/>
      <c r="K77" s="15"/>
    </row>
    <row r="78" spans="2:11" ht="15.75" x14ac:dyDescent="0.25">
      <c r="B78" s="15"/>
      <c r="C78" s="15"/>
      <c r="D78" s="15"/>
      <c r="E78" s="15"/>
      <c r="F78" s="15"/>
      <c r="G78" s="15"/>
      <c r="H78" s="15"/>
      <c r="I78" s="15"/>
      <c r="J78" s="15"/>
      <c r="K78" s="15"/>
    </row>
    <row r="79" spans="2:11" ht="15.75" x14ac:dyDescent="0.25">
      <c r="B79" s="15"/>
      <c r="C79" s="15"/>
      <c r="D79" s="15"/>
      <c r="E79" s="15"/>
      <c r="F79" s="15"/>
      <c r="G79" s="15"/>
      <c r="H79" s="15"/>
      <c r="I79" s="15"/>
      <c r="J79" s="15"/>
      <c r="K79" s="15"/>
    </row>
    <row r="80" spans="2:11" ht="15.75" x14ac:dyDescent="0.25">
      <c r="B80" s="15"/>
      <c r="C80" s="15"/>
      <c r="D80" s="15"/>
      <c r="E80" s="15"/>
      <c r="F80" s="15"/>
      <c r="G80" s="15"/>
      <c r="H80" s="15"/>
      <c r="I80" s="15"/>
      <c r="J80" s="15"/>
      <c r="K80" s="15"/>
    </row>
    <row r="81" spans="2:11" ht="15.75" x14ac:dyDescent="0.25">
      <c r="B81" s="15"/>
      <c r="C81" s="15"/>
      <c r="D81" s="15"/>
      <c r="E81" s="15"/>
      <c r="F81" s="15"/>
      <c r="G81" s="15"/>
      <c r="H81" s="15"/>
      <c r="I81" s="15"/>
      <c r="J81" s="15"/>
      <c r="K81" s="15"/>
    </row>
    <row r="82" spans="2:11" ht="15.75" x14ac:dyDescent="0.25">
      <c r="B82" s="15"/>
      <c r="C82" s="15"/>
      <c r="D82" s="15"/>
      <c r="E82" s="15"/>
      <c r="F82" s="15"/>
      <c r="G82" s="15"/>
      <c r="H82" s="15"/>
      <c r="I82" s="15"/>
      <c r="J82" s="15"/>
      <c r="K82" s="15"/>
    </row>
    <row r="83" spans="2:11" ht="15.75" x14ac:dyDescent="0.25">
      <c r="B83" s="15"/>
      <c r="C83" s="15"/>
      <c r="D83" s="15"/>
      <c r="E83" s="15"/>
      <c r="F83" s="15"/>
      <c r="G83" s="15"/>
      <c r="H83" s="15"/>
      <c r="I83" s="15"/>
      <c r="J83" s="15"/>
      <c r="K83" s="15"/>
    </row>
    <row r="84" spans="2:11" ht="15.75" x14ac:dyDescent="0.25">
      <c r="B84" s="15"/>
      <c r="C84" s="15"/>
      <c r="D84" s="15"/>
      <c r="E84" s="15"/>
      <c r="F84" s="15"/>
      <c r="G84" s="15"/>
      <c r="H84" s="15"/>
      <c r="I84" s="15"/>
      <c r="J84" s="15"/>
      <c r="K84" s="15"/>
    </row>
    <row r="85" spans="2:11" ht="15.75" x14ac:dyDescent="0.25">
      <c r="B85" s="15"/>
      <c r="C85" s="15"/>
      <c r="D85" s="15"/>
      <c r="E85" s="15"/>
      <c r="F85" s="15"/>
      <c r="G85" s="15"/>
      <c r="H85" s="15"/>
      <c r="I85" s="15"/>
      <c r="J85" s="15"/>
      <c r="K85" s="15"/>
    </row>
    <row r="86" spans="2:11" ht="15.75" x14ac:dyDescent="0.25">
      <c r="B86" s="15"/>
      <c r="C86" s="15"/>
      <c r="D86" s="15"/>
      <c r="E86" s="15"/>
      <c r="F86" s="15"/>
      <c r="G86" s="15"/>
      <c r="H86" s="15"/>
      <c r="I86" s="15"/>
      <c r="J86" s="15"/>
      <c r="K86" s="15"/>
    </row>
    <row r="87" spans="2:11" ht="15.75" x14ac:dyDescent="0.25">
      <c r="B87" s="15"/>
      <c r="C87" s="15"/>
      <c r="D87" s="15"/>
      <c r="E87" s="15"/>
      <c r="F87" s="15"/>
      <c r="G87" s="15"/>
      <c r="H87" s="15"/>
      <c r="I87" s="15"/>
      <c r="J87" s="15"/>
      <c r="K87" s="15"/>
    </row>
    <row r="88" spans="2:11" ht="15.75" x14ac:dyDescent="0.25">
      <c r="B88" s="15"/>
      <c r="C88" s="15"/>
      <c r="D88" s="15"/>
      <c r="E88" s="15"/>
      <c r="F88" s="15"/>
      <c r="G88" s="15"/>
      <c r="H88" s="15"/>
      <c r="I88" s="15"/>
      <c r="J88" s="15"/>
      <c r="K88" s="15"/>
    </row>
    <row r="89" spans="2:11" ht="15.75" x14ac:dyDescent="0.25">
      <c r="B89" s="15"/>
      <c r="C89" s="15"/>
      <c r="D89" s="15"/>
      <c r="E89" s="15"/>
      <c r="F89" s="15"/>
      <c r="G89" s="15"/>
      <c r="H89" s="15"/>
      <c r="I89" s="15"/>
      <c r="J89" s="15"/>
      <c r="K89" s="15"/>
    </row>
    <row r="90" spans="2:11" ht="15.75" x14ac:dyDescent="0.25">
      <c r="B90" s="15"/>
      <c r="C90" s="15"/>
      <c r="D90" s="15"/>
      <c r="E90" s="15"/>
      <c r="F90" s="15"/>
      <c r="G90" s="15"/>
      <c r="H90" s="15"/>
      <c r="I90" s="15"/>
      <c r="J90" s="15"/>
      <c r="K90" s="15"/>
    </row>
    <row r="91" spans="2:11" ht="15.75" x14ac:dyDescent="0.25">
      <c r="B91" s="15"/>
      <c r="C91" s="15"/>
      <c r="D91" s="15"/>
      <c r="E91" s="15"/>
      <c r="F91" s="15"/>
      <c r="G91" s="15"/>
      <c r="H91" s="15"/>
      <c r="I91" s="15"/>
      <c r="J91" s="15"/>
      <c r="K91" s="15"/>
    </row>
    <row r="92" spans="2:11" ht="15.75" x14ac:dyDescent="0.25">
      <c r="B92" s="15"/>
      <c r="C92" s="15"/>
      <c r="D92" s="15"/>
      <c r="E92" s="15"/>
      <c r="F92" s="15"/>
      <c r="G92" s="15"/>
      <c r="H92" s="15"/>
      <c r="I92" s="15"/>
      <c r="J92" s="15"/>
      <c r="K92" s="15"/>
    </row>
    <row r="93" spans="2:11" ht="15.75" x14ac:dyDescent="0.25">
      <c r="B93" s="15"/>
      <c r="C93" s="15"/>
      <c r="D93" s="15"/>
      <c r="E93" s="15"/>
      <c r="F93" s="15"/>
      <c r="G93" s="15"/>
      <c r="H93" s="15"/>
      <c r="I93" s="15"/>
      <c r="J93" s="15"/>
      <c r="K93" s="15"/>
    </row>
    <row r="94" spans="2:11" ht="15.75" x14ac:dyDescent="0.25">
      <c r="B94" s="15"/>
      <c r="C94" s="15"/>
      <c r="D94" s="15"/>
      <c r="E94" s="15"/>
      <c r="F94" s="15"/>
      <c r="G94" s="15"/>
      <c r="H94" s="15"/>
      <c r="I94" s="15"/>
      <c r="J94" s="15"/>
      <c r="K94" s="15"/>
    </row>
    <row r="95" spans="2:11" ht="15.75" x14ac:dyDescent="0.25">
      <c r="B95" s="15"/>
      <c r="C95" s="15"/>
      <c r="D95" s="15"/>
      <c r="E95" s="15"/>
      <c r="F95" s="15"/>
      <c r="G95" s="15"/>
      <c r="H95" s="15"/>
      <c r="I95" s="15"/>
      <c r="J95" s="15"/>
      <c r="K95" s="15"/>
    </row>
    <row r="96" spans="2:11" ht="15.75" x14ac:dyDescent="0.25">
      <c r="B96" s="15"/>
      <c r="C96" s="15"/>
      <c r="D96" s="15"/>
      <c r="E96" s="15"/>
      <c r="F96" s="15"/>
      <c r="G96" s="15"/>
      <c r="H96" s="15"/>
      <c r="I96" s="15"/>
      <c r="J96" s="15"/>
      <c r="K96" s="15"/>
    </row>
    <row r="97" spans="2:11" ht="15.75" x14ac:dyDescent="0.25">
      <c r="B97" s="15"/>
      <c r="C97" s="15"/>
      <c r="D97" s="15"/>
      <c r="E97" s="15"/>
      <c r="F97" s="15"/>
      <c r="G97" s="15"/>
      <c r="H97" s="15"/>
      <c r="I97" s="15"/>
      <c r="J97" s="15"/>
      <c r="K97" s="15"/>
    </row>
    <row r="98" spans="2:11" ht="15.75" x14ac:dyDescent="0.25">
      <c r="B98" s="15"/>
      <c r="C98" s="15"/>
      <c r="D98" s="15"/>
      <c r="E98" s="15"/>
      <c r="F98" s="15"/>
      <c r="G98" s="15"/>
      <c r="H98" s="15"/>
      <c r="I98" s="15"/>
      <c r="J98" s="15"/>
      <c r="K98" s="15"/>
    </row>
    <row r="99" spans="2:11" ht="15.75" x14ac:dyDescent="0.25">
      <c r="B99" s="15"/>
      <c r="C99" s="15"/>
      <c r="D99" s="15"/>
      <c r="E99" s="15"/>
      <c r="F99" s="15"/>
      <c r="G99" s="15"/>
      <c r="H99" s="15"/>
      <c r="I99" s="15"/>
      <c r="J99" s="15"/>
      <c r="K99" s="15"/>
    </row>
    <row r="100" spans="2:11" ht="15.75" x14ac:dyDescent="0.25">
      <c r="B100" s="15"/>
      <c r="C100" s="15"/>
      <c r="D100" s="15"/>
      <c r="E100" s="15"/>
      <c r="F100" s="15"/>
      <c r="G100" s="15"/>
      <c r="H100" s="15"/>
      <c r="I100" s="15"/>
      <c r="J100" s="15"/>
      <c r="K100" s="15"/>
    </row>
    <row r="101" spans="2:11" ht="15.75" x14ac:dyDescent="0.25">
      <c r="B101" s="15"/>
      <c r="C101" s="15"/>
      <c r="D101" s="15"/>
      <c r="E101" s="15"/>
      <c r="F101" s="15"/>
      <c r="G101" s="15"/>
      <c r="H101" s="15"/>
      <c r="I101" s="15"/>
      <c r="J101" s="15"/>
      <c r="K101" s="15"/>
    </row>
    <row r="102" spans="2:11" ht="15.75" x14ac:dyDescent="0.25">
      <c r="B102" s="15"/>
      <c r="C102" s="15"/>
      <c r="D102" s="15"/>
      <c r="E102" s="15"/>
      <c r="F102" s="15"/>
      <c r="G102" s="15"/>
      <c r="H102" s="15"/>
      <c r="I102" s="15"/>
      <c r="J102" s="15"/>
      <c r="K102" s="15"/>
    </row>
    <row r="103" spans="2:11" ht="15.75" x14ac:dyDescent="0.25">
      <c r="B103" s="15"/>
      <c r="C103" s="15"/>
      <c r="D103" s="15"/>
      <c r="E103" s="15"/>
      <c r="F103" s="15"/>
      <c r="G103" s="15"/>
      <c r="H103" s="15"/>
      <c r="I103" s="15"/>
      <c r="J103" s="15"/>
      <c r="K103" s="15"/>
    </row>
    <row r="104" spans="2:11" ht="15.75" x14ac:dyDescent="0.25">
      <c r="B104" s="15"/>
      <c r="C104" s="15"/>
      <c r="D104" s="15"/>
      <c r="E104" s="15"/>
      <c r="F104" s="15"/>
      <c r="G104" s="15"/>
      <c r="H104" s="15"/>
      <c r="I104" s="15"/>
      <c r="J104" s="15"/>
      <c r="K104" s="15"/>
    </row>
    <row r="105" spans="2:11" ht="15.75" x14ac:dyDescent="0.25">
      <c r="B105" s="15"/>
      <c r="C105" s="15"/>
      <c r="D105" s="15"/>
      <c r="E105" s="15"/>
      <c r="F105" s="15"/>
      <c r="G105" s="15"/>
      <c r="H105" s="15"/>
      <c r="I105" s="15"/>
      <c r="J105" s="15"/>
      <c r="K105" s="15"/>
    </row>
    <row r="106" spans="2:11" ht="15.75" x14ac:dyDescent="0.25">
      <c r="B106" s="15"/>
      <c r="C106" s="15"/>
      <c r="D106" s="15"/>
      <c r="E106" s="15"/>
      <c r="F106" s="15"/>
      <c r="G106" s="15"/>
      <c r="H106" s="15"/>
      <c r="I106" s="15"/>
      <c r="J106" s="15"/>
      <c r="K106" s="15"/>
    </row>
    <row r="107" spans="2:11" ht="15.75" x14ac:dyDescent="0.25">
      <c r="B107" s="15"/>
      <c r="C107" s="15"/>
      <c r="D107" s="15"/>
      <c r="E107" s="15"/>
      <c r="F107" s="15"/>
      <c r="G107" s="15"/>
      <c r="H107" s="15"/>
      <c r="I107" s="15"/>
      <c r="J107" s="15"/>
      <c r="K107" s="15"/>
    </row>
    <row r="108" spans="2:11" ht="15.75" x14ac:dyDescent="0.25">
      <c r="B108" s="15"/>
      <c r="C108" s="15"/>
      <c r="D108" s="15"/>
      <c r="E108" s="15"/>
      <c r="F108" s="15"/>
      <c r="G108" s="15"/>
      <c r="H108" s="15"/>
      <c r="I108" s="15"/>
      <c r="J108" s="15"/>
      <c r="K108" s="15"/>
    </row>
    <row r="109" spans="2:11" ht="15.75" x14ac:dyDescent="0.25">
      <c r="B109" s="15"/>
      <c r="C109" s="15"/>
      <c r="D109" s="15"/>
      <c r="E109" s="15"/>
      <c r="F109" s="15"/>
      <c r="G109" s="15"/>
      <c r="H109" s="15"/>
      <c r="I109" s="15"/>
      <c r="J109" s="15"/>
      <c r="K109" s="15"/>
    </row>
    <row r="110" spans="2:11" ht="15.75" x14ac:dyDescent="0.25">
      <c r="B110" s="15"/>
      <c r="C110" s="15"/>
      <c r="D110" s="15"/>
      <c r="E110" s="15"/>
      <c r="F110" s="15"/>
      <c r="G110" s="15"/>
      <c r="H110" s="15"/>
      <c r="I110" s="15"/>
      <c r="J110" s="15"/>
      <c r="K110" s="15"/>
    </row>
    <row r="111" spans="2:11" ht="15.75" x14ac:dyDescent="0.25">
      <c r="B111" s="15"/>
      <c r="C111" s="15"/>
      <c r="D111" s="15"/>
      <c r="E111" s="15"/>
      <c r="F111" s="15"/>
      <c r="G111" s="15"/>
      <c r="H111" s="15"/>
      <c r="I111" s="15"/>
      <c r="J111" s="15"/>
      <c r="K111" s="15"/>
    </row>
    <row r="112" spans="2:11" ht="15.75" x14ac:dyDescent="0.25">
      <c r="B112" s="15"/>
      <c r="C112" s="15"/>
      <c r="D112" s="15"/>
      <c r="E112" s="15"/>
      <c r="F112" s="15"/>
      <c r="G112" s="15"/>
      <c r="H112" s="15"/>
      <c r="I112" s="15"/>
      <c r="J112" s="15"/>
      <c r="K112" s="15"/>
    </row>
    <row r="113" spans="2:11" ht="15.75" x14ac:dyDescent="0.25">
      <c r="B113" s="15"/>
      <c r="C113" s="15"/>
      <c r="D113" s="15"/>
      <c r="E113" s="15"/>
      <c r="F113" s="15"/>
      <c r="G113" s="15"/>
      <c r="H113" s="15"/>
      <c r="I113" s="15"/>
      <c r="J113" s="15"/>
      <c r="K113" s="15"/>
    </row>
    <row r="114" spans="2:11" ht="15.75" x14ac:dyDescent="0.25">
      <c r="B114" s="15"/>
      <c r="C114" s="15"/>
      <c r="D114" s="15"/>
      <c r="E114" s="15"/>
      <c r="F114" s="15"/>
      <c r="G114" s="15"/>
      <c r="H114" s="15"/>
      <c r="I114" s="15"/>
      <c r="J114" s="15"/>
      <c r="K114" s="15"/>
    </row>
    <row r="115" spans="2:11" ht="15.75" x14ac:dyDescent="0.25">
      <c r="B115" s="15"/>
      <c r="C115" s="15"/>
      <c r="D115" s="15"/>
      <c r="E115" s="15"/>
      <c r="F115" s="15"/>
      <c r="G115" s="15"/>
      <c r="H115" s="15"/>
      <c r="I115" s="15"/>
      <c r="J115" s="15"/>
      <c r="K115" s="15"/>
    </row>
    <row r="116" spans="2:11" ht="15.75" x14ac:dyDescent="0.25">
      <c r="B116" s="15"/>
      <c r="C116" s="15"/>
      <c r="D116" s="15"/>
      <c r="E116" s="15"/>
      <c r="F116" s="15"/>
      <c r="G116" s="15"/>
      <c r="H116" s="15"/>
      <c r="I116" s="15"/>
      <c r="J116" s="15"/>
      <c r="K116" s="15"/>
    </row>
    <row r="117" spans="2:11" ht="15.75" x14ac:dyDescent="0.25">
      <c r="B117" s="15"/>
      <c r="C117" s="15"/>
      <c r="D117" s="15"/>
      <c r="E117" s="15"/>
      <c r="F117" s="15"/>
      <c r="G117" s="15"/>
      <c r="H117" s="15"/>
      <c r="I117" s="15"/>
      <c r="J117" s="15"/>
      <c r="K117" s="15"/>
    </row>
    <row r="118" spans="2:11" ht="15.75" x14ac:dyDescent="0.25">
      <c r="B118" s="15"/>
      <c r="C118" s="15"/>
      <c r="D118" s="15"/>
      <c r="E118" s="15"/>
      <c r="F118" s="15"/>
      <c r="G118" s="15"/>
      <c r="H118" s="15"/>
      <c r="I118" s="15"/>
      <c r="J118" s="15"/>
      <c r="K118" s="15"/>
    </row>
    <row r="119" spans="2:11" ht="15.75" x14ac:dyDescent="0.25">
      <c r="B119" s="15"/>
      <c r="C119" s="15"/>
      <c r="D119" s="15"/>
      <c r="E119" s="15"/>
      <c r="F119" s="15"/>
      <c r="G119" s="15"/>
      <c r="H119" s="15"/>
      <c r="I119" s="15"/>
      <c r="J119" s="15"/>
      <c r="K119" s="15"/>
    </row>
    <row r="120" spans="2:11" ht="15.75" x14ac:dyDescent="0.25">
      <c r="B120" s="15"/>
      <c r="C120" s="15"/>
      <c r="D120" s="15"/>
      <c r="E120" s="15"/>
      <c r="F120" s="15"/>
      <c r="G120" s="15"/>
      <c r="H120" s="15"/>
      <c r="I120" s="15"/>
      <c r="J120" s="15"/>
      <c r="K120" s="15"/>
    </row>
    <row r="121" spans="2:11" ht="15.75" x14ac:dyDescent="0.25">
      <c r="B121" s="15"/>
      <c r="C121" s="15"/>
      <c r="D121" s="15"/>
      <c r="E121" s="15"/>
      <c r="F121" s="15"/>
      <c r="G121" s="15"/>
      <c r="H121" s="15"/>
      <c r="I121" s="15"/>
      <c r="J121" s="15"/>
      <c r="K121" s="15"/>
    </row>
    <row r="122" spans="2:11" ht="15.75" x14ac:dyDescent="0.25">
      <c r="B122" s="15"/>
      <c r="C122" s="15"/>
      <c r="D122" s="15"/>
      <c r="E122" s="15"/>
      <c r="F122" s="15"/>
      <c r="G122" s="15"/>
      <c r="H122" s="15"/>
      <c r="I122" s="15"/>
      <c r="J122" s="15"/>
      <c r="K122" s="15"/>
    </row>
    <row r="123" spans="2:11" ht="15.75" x14ac:dyDescent="0.25">
      <c r="B123" s="15"/>
      <c r="C123" s="15"/>
      <c r="D123" s="15"/>
      <c r="E123" s="15"/>
      <c r="F123" s="15"/>
      <c r="G123" s="15"/>
      <c r="H123" s="15"/>
      <c r="I123" s="15"/>
      <c r="J123" s="15"/>
      <c r="K123" s="15"/>
    </row>
    <row r="124" spans="2:11" ht="15.75" x14ac:dyDescent="0.25">
      <c r="B124" s="15"/>
      <c r="C124" s="15"/>
      <c r="D124" s="15"/>
      <c r="E124" s="15"/>
      <c r="F124" s="15"/>
      <c r="G124" s="15"/>
      <c r="H124" s="15"/>
      <c r="I124" s="15"/>
      <c r="J124" s="15"/>
      <c r="K124" s="15"/>
    </row>
    <row r="125" spans="2:11" ht="15.75" x14ac:dyDescent="0.25">
      <c r="B125" s="15"/>
      <c r="C125" s="15"/>
      <c r="D125" s="15"/>
      <c r="E125" s="15"/>
      <c r="F125" s="15"/>
      <c r="G125" s="15"/>
      <c r="H125" s="15"/>
      <c r="I125" s="15"/>
      <c r="J125" s="15"/>
      <c r="K125" s="15"/>
    </row>
    <row r="126" spans="2:11" ht="15.75" x14ac:dyDescent="0.25">
      <c r="B126" s="15"/>
      <c r="C126" s="15"/>
      <c r="D126" s="15"/>
      <c r="E126" s="15"/>
      <c r="F126" s="15"/>
      <c r="G126" s="15"/>
      <c r="H126" s="15"/>
      <c r="I126" s="15"/>
      <c r="J126" s="15"/>
      <c r="K126" s="15"/>
    </row>
    <row r="127" spans="2:11" ht="15.75" x14ac:dyDescent="0.25">
      <c r="B127" s="15"/>
      <c r="C127" s="15"/>
      <c r="D127" s="15"/>
      <c r="E127" s="15"/>
      <c r="F127" s="15"/>
      <c r="G127" s="15"/>
      <c r="H127" s="15"/>
      <c r="I127" s="15"/>
      <c r="J127" s="15"/>
      <c r="K127" s="15"/>
    </row>
    <row r="128" spans="2:11" ht="15.75" x14ac:dyDescent="0.25">
      <c r="B128" s="15"/>
      <c r="C128" s="15"/>
      <c r="D128" s="15"/>
      <c r="E128" s="15"/>
      <c r="F128" s="15"/>
      <c r="G128" s="15"/>
      <c r="H128" s="15"/>
      <c r="I128" s="15"/>
      <c r="J128" s="15"/>
      <c r="K128" s="15"/>
    </row>
    <row r="129" spans="2:11" ht="15.75" x14ac:dyDescent="0.25">
      <c r="B129" s="15"/>
      <c r="C129" s="15"/>
      <c r="D129" s="15"/>
      <c r="E129" s="15"/>
      <c r="F129" s="15"/>
      <c r="G129" s="15"/>
      <c r="H129" s="15"/>
      <c r="I129" s="15"/>
      <c r="J129" s="15"/>
      <c r="K129" s="15"/>
    </row>
    <row r="130" spans="2:11" ht="15.75" x14ac:dyDescent="0.25">
      <c r="B130" s="15"/>
      <c r="C130" s="15"/>
      <c r="D130" s="15"/>
      <c r="E130" s="15"/>
      <c r="F130" s="15"/>
      <c r="G130" s="15"/>
      <c r="H130" s="15"/>
      <c r="I130" s="15"/>
      <c r="J130" s="15"/>
      <c r="K130" s="15"/>
    </row>
    <row r="131" spans="2:11" ht="15.75" x14ac:dyDescent="0.25">
      <c r="B131" s="15"/>
      <c r="C131" s="15"/>
      <c r="D131" s="15"/>
      <c r="E131" s="15"/>
      <c r="F131" s="15"/>
      <c r="G131" s="15"/>
      <c r="H131" s="15"/>
      <c r="I131" s="15"/>
      <c r="J131" s="15"/>
      <c r="K131" s="15"/>
    </row>
    <row r="132" spans="2:11" ht="15.75" x14ac:dyDescent="0.25">
      <c r="B132" s="15"/>
      <c r="C132" s="15"/>
      <c r="D132" s="15"/>
      <c r="E132" s="15"/>
      <c r="F132" s="15"/>
      <c r="G132" s="15"/>
      <c r="H132" s="15"/>
      <c r="I132" s="15"/>
      <c r="J132" s="15"/>
      <c r="K132" s="15"/>
    </row>
    <row r="133" spans="2:11" ht="15.75" x14ac:dyDescent="0.25">
      <c r="B133" s="15"/>
      <c r="C133" s="15"/>
      <c r="D133" s="15"/>
      <c r="E133" s="15"/>
      <c r="F133" s="15"/>
      <c r="G133" s="15"/>
      <c r="H133" s="15"/>
      <c r="I133" s="15"/>
      <c r="J133" s="15"/>
      <c r="K133" s="15"/>
    </row>
    <row r="134" spans="2:11" ht="15.75" x14ac:dyDescent="0.25">
      <c r="B134" s="15"/>
      <c r="C134" s="15"/>
      <c r="D134" s="15"/>
      <c r="E134" s="15"/>
      <c r="F134" s="15"/>
      <c r="G134" s="15"/>
      <c r="H134" s="15"/>
      <c r="I134" s="15"/>
      <c r="J134" s="15"/>
      <c r="K134" s="15"/>
    </row>
    <row r="135" spans="2:11" ht="15.75" x14ac:dyDescent="0.25">
      <c r="B135" s="15"/>
      <c r="C135" s="15"/>
      <c r="D135" s="15"/>
      <c r="E135" s="15"/>
      <c r="F135" s="15"/>
      <c r="G135" s="15"/>
      <c r="H135" s="15"/>
      <c r="I135" s="15"/>
      <c r="J135" s="15"/>
      <c r="K135" s="15"/>
    </row>
    <row r="136" spans="2:11" ht="15.75" x14ac:dyDescent="0.25">
      <c r="B136" s="15"/>
      <c r="C136" s="15"/>
      <c r="D136" s="15"/>
      <c r="E136" s="15"/>
      <c r="F136" s="15"/>
      <c r="G136" s="15"/>
      <c r="H136" s="15"/>
      <c r="I136" s="15"/>
      <c r="J136" s="15"/>
      <c r="K136" s="15"/>
    </row>
    <row r="137" spans="2:11" ht="15.75" x14ac:dyDescent="0.25">
      <c r="B137" s="15"/>
      <c r="C137" s="15"/>
      <c r="D137" s="15"/>
      <c r="E137" s="15"/>
      <c r="F137" s="15"/>
      <c r="G137" s="15"/>
      <c r="H137" s="15"/>
      <c r="I137" s="15"/>
      <c r="J137" s="15"/>
      <c r="K137" s="15"/>
    </row>
    <row r="138" spans="2:11" ht="15.75" x14ac:dyDescent="0.25">
      <c r="B138" s="15"/>
      <c r="C138" s="15"/>
      <c r="D138" s="15"/>
      <c r="E138" s="15"/>
      <c r="F138" s="15"/>
      <c r="G138" s="15"/>
      <c r="H138" s="15"/>
      <c r="I138" s="15"/>
      <c r="J138" s="15"/>
      <c r="K138" s="15"/>
    </row>
    <row r="139" spans="2:11" ht="15.75" x14ac:dyDescent="0.25">
      <c r="B139" s="15"/>
      <c r="C139" s="15"/>
      <c r="D139" s="15"/>
      <c r="E139" s="15"/>
      <c r="F139" s="15"/>
      <c r="G139" s="15"/>
      <c r="H139" s="15"/>
      <c r="I139" s="15"/>
      <c r="J139" s="15"/>
      <c r="K139" s="15"/>
    </row>
    <row r="140" spans="2:11" ht="15.75" x14ac:dyDescent="0.25">
      <c r="B140" s="15"/>
      <c r="C140" s="15"/>
      <c r="D140" s="15"/>
      <c r="E140" s="15"/>
      <c r="F140" s="15"/>
      <c r="G140" s="15"/>
      <c r="H140" s="15"/>
      <c r="I140" s="15"/>
      <c r="J140" s="15"/>
      <c r="K140" s="15"/>
    </row>
    <row r="141" spans="2:11" ht="15.75" x14ac:dyDescent="0.25">
      <c r="B141" s="15"/>
      <c r="C141" s="15"/>
      <c r="D141" s="15"/>
      <c r="E141" s="15"/>
      <c r="F141" s="15"/>
      <c r="G141" s="15"/>
      <c r="H141" s="15"/>
      <c r="I141" s="15"/>
      <c r="J141" s="15"/>
      <c r="K141" s="15"/>
    </row>
    <row r="142" spans="2:11" ht="15.75" x14ac:dyDescent="0.25">
      <c r="B142" s="15"/>
      <c r="C142" s="15"/>
      <c r="D142" s="15"/>
      <c r="E142" s="15"/>
      <c r="F142" s="15"/>
      <c r="G142" s="15"/>
      <c r="H142" s="15"/>
      <c r="I142" s="15"/>
      <c r="J142" s="15"/>
      <c r="K142" s="15"/>
    </row>
    <row r="143" spans="2:11" ht="15.75" x14ac:dyDescent="0.25">
      <c r="B143" s="15"/>
      <c r="C143" s="15"/>
      <c r="D143" s="15"/>
      <c r="E143" s="15"/>
      <c r="F143" s="15"/>
      <c r="G143" s="15"/>
      <c r="H143" s="15"/>
      <c r="I143" s="15"/>
      <c r="J143" s="15"/>
      <c r="K143" s="15"/>
    </row>
    <row r="144" spans="2:11" ht="15.75" x14ac:dyDescent="0.25">
      <c r="B144" s="15"/>
      <c r="C144" s="15"/>
      <c r="D144" s="15"/>
      <c r="E144" s="15"/>
      <c r="F144" s="15"/>
      <c r="G144" s="15"/>
      <c r="H144" s="15"/>
      <c r="I144" s="15"/>
      <c r="J144" s="15"/>
      <c r="K144" s="15"/>
    </row>
    <row r="145" spans="2:11" ht="15.75" x14ac:dyDescent="0.25">
      <c r="B145" s="15"/>
      <c r="C145" s="15"/>
      <c r="D145" s="15"/>
      <c r="E145" s="15"/>
      <c r="F145" s="15"/>
      <c r="G145" s="15"/>
      <c r="H145" s="15"/>
      <c r="I145" s="15"/>
      <c r="J145" s="15"/>
      <c r="K145" s="15"/>
    </row>
    <row r="146" spans="2:11" ht="15.75" x14ac:dyDescent="0.25">
      <c r="B146" s="15"/>
      <c r="C146" s="15"/>
      <c r="D146" s="15"/>
      <c r="E146" s="15"/>
      <c r="F146" s="15"/>
      <c r="G146" s="15"/>
      <c r="H146" s="15"/>
      <c r="I146" s="15"/>
      <c r="J146" s="15"/>
      <c r="K146" s="15"/>
    </row>
    <row r="147" spans="2:11" ht="15.75" x14ac:dyDescent="0.25">
      <c r="B147" s="15"/>
      <c r="C147" s="15"/>
      <c r="D147" s="15"/>
      <c r="E147" s="15"/>
      <c r="F147" s="15"/>
      <c r="G147" s="15"/>
      <c r="H147" s="15"/>
      <c r="I147" s="15"/>
      <c r="J147" s="15"/>
      <c r="K147" s="15"/>
    </row>
    <row r="148" spans="2:11" ht="15.75" x14ac:dyDescent="0.25">
      <c r="B148" s="15"/>
      <c r="C148" s="15"/>
      <c r="D148" s="15"/>
      <c r="E148" s="15"/>
      <c r="F148" s="15"/>
      <c r="G148" s="15"/>
      <c r="H148" s="15"/>
      <c r="I148" s="15"/>
      <c r="J148" s="15"/>
      <c r="K148" s="15"/>
    </row>
    <row r="149" spans="2:11" ht="15.75" x14ac:dyDescent="0.25">
      <c r="B149" s="15"/>
      <c r="C149" s="15"/>
      <c r="D149" s="15"/>
      <c r="E149" s="15"/>
      <c r="F149" s="15"/>
      <c r="G149" s="15"/>
      <c r="H149" s="15"/>
      <c r="I149" s="15"/>
      <c r="J149" s="15"/>
      <c r="K149" s="15"/>
    </row>
    <row r="150" spans="2:11" ht="15.75" x14ac:dyDescent="0.25">
      <c r="B150" s="15"/>
      <c r="C150" s="15"/>
      <c r="D150" s="15"/>
      <c r="E150" s="15"/>
      <c r="F150" s="15"/>
      <c r="G150" s="15"/>
      <c r="H150" s="15"/>
      <c r="I150" s="15"/>
      <c r="J150" s="15"/>
      <c r="K150" s="15"/>
    </row>
    <row r="151" spans="2:11" ht="15.75" x14ac:dyDescent="0.25">
      <c r="B151" s="15"/>
      <c r="C151" s="15"/>
      <c r="D151" s="15"/>
      <c r="E151" s="15"/>
      <c r="F151" s="15"/>
      <c r="G151" s="15"/>
      <c r="H151" s="15"/>
      <c r="I151" s="15"/>
      <c r="J151" s="15"/>
      <c r="K151" s="15"/>
    </row>
    <row r="152" spans="2:11" ht="15.75" x14ac:dyDescent="0.25">
      <c r="B152" s="15"/>
      <c r="C152" s="15"/>
      <c r="D152" s="15"/>
      <c r="E152" s="15"/>
      <c r="F152" s="15"/>
      <c r="G152" s="15"/>
      <c r="H152" s="15"/>
      <c r="I152" s="15"/>
      <c r="J152" s="15"/>
      <c r="K152" s="15"/>
    </row>
    <row r="153" spans="2:11" ht="15.75" x14ac:dyDescent="0.25">
      <c r="B153" s="15"/>
      <c r="C153" s="15"/>
      <c r="D153" s="15"/>
      <c r="E153" s="15"/>
      <c r="F153" s="15"/>
      <c r="G153" s="15"/>
      <c r="H153" s="15"/>
      <c r="I153" s="15"/>
      <c r="J153" s="15"/>
      <c r="K153" s="15"/>
    </row>
    <row r="154" spans="2:11" ht="15.75" x14ac:dyDescent="0.25">
      <c r="B154" s="15"/>
      <c r="C154" s="15"/>
      <c r="D154" s="15"/>
      <c r="E154" s="15"/>
      <c r="F154" s="15"/>
      <c r="G154" s="15"/>
      <c r="H154" s="15"/>
      <c r="I154" s="15"/>
      <c r="J154" s="15"/>
      <c r="K154" s="15"/>
    </row>
    <row r="155" spans="2:11" ht="15.75" x14ac:dyDescent="0.25">
      <c r="B155" s="15"/>
      <c r="C155" s="15"/>
      <c r="D155" s="15"/>
      <c r="E155" s="15"/>
      <c r="F155" s="15"/>
      <c r="G155" s="15"/>
      <c r="H155" s="15"/>
      <c r="I155" s="15"/>
      <c r="J155" s="15"/>
      <c r="K155" s="15"/>
    </row>
    <row r="156" spans="2:11" ht="15.75" x14ac:dyDescent="0.25">
      <c r="B156" s="15"/>
      <c r="C156" s="15"/>
      <c r="D156" s="15"/>
      <c r="E156" s="15"/>
      <c r="F156" s="15"/>
      <c r="G156" s="15"/>
      <c r="H156" s="15"/>
      <c r="I156" s="15"/>
      <c r="J156" s="15"/>
      <c r="K156" s="15"/>
    </row>
    <row r="157" spans="2:11" ht="15.75" x14ac:dyDescent="0.25">
      <c r="B157" s="15"/>
      <c r="C157" s="15"/>
      <c r="D157" s="15"/>
      <c r="E157" s="15"/>
      <c r="F157" s="15"/>
      <c r="G157" s="15"/>
      <c r="H157" s="15"/>
      <c r="I157" s="15"/>
      <c r="J157" s="15"/>
      <c r="K157" s="15"/>
    </row>
    <row r="158" spans="2:11" ht="15.75" x14ac:dyDescent="0.25">
      <c r="B158" s="15"/>
      <c r="C158" s="15"/>
      <c r="D158" s="15"/>
      <c r="E158" s="15"/>
      <c r="F158" s="15"/>
      <c r="G158" s="15"/>
      <c r="H158" s="15"/>
      <c r="I158" s="15"/>
      <c r="J158" s="15"/>
      <c r="K158" s="15"/>
    </row>
    <row r="159" spans="2:11" ht="15.75" x14ac:dyDescent="0.25">
      <c r="B159" s="15"/>
      <c r="C159" s="15"/>
      <c r="D159" s="15"/>
      <c r="E159" s="15"/>
      <c r="F159" s="15"/>
      <c r="G159" s="15"/>
      <c r="H159" s="15"/>
      <c r="I159" s="15"/>
      <c r="J159" s="15"/>
      <c r="K159" s="15"/>
    </row>
    <row r="160" spans="2:11" ht="15.75" x14ac:dyDescent="0.25">
      <c r="B160" s="15"/>
      <c r="C160" s="15"/>
      <c r="D160" s="15"/>
      <c r="E160" s="15"/>
      <c r="F160" s="15"/>
      <c r="G160" s="15"/>
      <c r="H160" s="15"/>
      <c r="I160" s="15"/>
      <c r="J160" s="15"/>
      <c r="K160" s="15"/>
    </row>
    <row r="161" spans="2:11" ht="15.75" x14ac:dyDescent="0.25">
      <c r="B161" s="15"/>
      <c r="C161" s="15"/>
      <c r="D161" s="15"/>
      <c r="E161" s="15"/>
      <c r="F161" s="15"/>
      <c r="G161" s="15"/>
      <c r="H161" s="15"/>
      <c r="I161" s="15"/>
      <c r="J161" s="15"/>
      <c r="K161" s="15"/>
    </row>
    <row r="162" spans="2:11" ht="15.75" x14ac:dyDescent="0.25">
      <c r="B162" s="15"/>
      <c r="C162" s="15"/>
      <c r="D162" s="15"/>
      <c r="E162" s="15"/>
      <c r="F162" s="15"/>
      <c r="G162" s="15"/>
      <c r="H162" s="15"/>
      <c r="I162" s="15"/>
      <c r="J162" s="15"/>
      <c r="K162" s="15"/>
    </row>
    <row r="163" spans="2:11" ht="15.75" x14ac:dyDescent="0.25">
      <c r="B163" s="15"/>
      <c r="C163" s="15"/>
      <c r="D163" s="15"/>
      <c r="E163" s="15"/>
      <c r="F163" s="15"/>
      <c r="G163" s="15"/>
      <c r="H163" s="15"/>
      <c r="I163" s="15"/>
      <c r="J163" s="15"/>
      <c r="K163" s="15"/>
    </row>
    <row r="164" spans="2:11" ht="15.75" x14ac:dyDescent="0.25">
      <c r="B164" s="15"/>
      <c r="C164" s="15"/>
      <c r="D164" s="15"/>
      <c r="E164" s="15"/>
      <c r="F164" s="15"/>
      <c r="G164" s="15"/>
      <c r="H164" s="15"/>
      <c r="I164" s="15"/>
      <c r="J164" s="15"/>
      <c r="K164" s="15"/>
    </row>
    <row r="165" spans="2:11" ht="15.75" x14ac:dyDescent="0.25">
      <c r="B165" s="15"/>
      <c r="C165" s="15"/>
      <c r="D165" s="15"/>
      <c r="E165" s="15"/>
      <c r="F165" s="15"/>
      <c r="G165" s="15"/>
      <c r="H165" s="15"/>
      <c r="I165" s="15"/>
      <c r="J165" s="15"/>
      <c r="K165" s="15"/>
    </row>
    <row r="166" spans="2:11" ht="15.75" x14ac:dyDescent="0.25">
      <c r="B166" s="15"/>
      <c r="C166" s="15"/>
      <c r="D166" s="15"/>
      <c r="E166" s="15"/>
      <c r="F166" s="15"/>
      <c r="G166" s="15"/>
      <c r="H166" s="15"/>
      <c r="I166" s="15"/>
      <c r="J166" s="15"/>
      <c r="K166" s="15"/>
    </row>
    <row r="167" spans="2:11" ht="15.75" x14ac:dyDescent="0.25">
      <c r="B167" s="15"/>
      <c r="C167" s="15"/>
      <c r="D167" s="15"/>
      <c r="E167" s="15"/>
      <c r="F167" s="15"/>
      <c r="G167" s="15"/>
      <c r="H167" s="15"/>
      <c r="I167" s="15"/>
      <c r="J167" s="15"/>
      <c r="K167" s="15"/>
    </row>
    <row r="168" spans="2:11" ht="15.75" x14ac:dyDescent="0.25">
      <c r="B168" s="15"/>
      <c r="C168" s="15"/>
      <c r="D168" s="15"/>
      <c r="E168" s="15"/>
      <c r="F168" s="15"/>
      <c r="G168" s="15"/>
      <c r="H168" s="15"/>
      <c r="I168" s="15"/>
      <c r="J168" s="15"/>
      <c r="K168" s="15"/>
    </row>
    <row r="169" spans="2:11" ht="15.75" x14ac:dyDescent="0.25">
      <c r="B169" s="15"/>
      <c r="C169" s="15"/>
      <c r="D169" s="15"/>
      <c r="E169" s="15"/>
      <c r="F169" s="15"/>
      <c r="G169" s="15"/>
      <c r="H169" s="15"/>
      <c r="I169" s="15"/>
      <c r="J169" s="15"/>
      <c r="K169" s="15"/>
    </row>
    <row r="170" spans="2:11" ht="15.75" x14ac:dyDescent="0.25">
      <c r="B170" s="15"/>
      <c r="C170" s="15"/>
      <c r="D170" s="15"/>
      <c r="E170" s="15"/>
      <c r="F170" s="15"/>
      <c r="G170" s="15"/>
      <c r="H170" s="15"/>
      <c r="I170" s="15"/>
      <c r="J170" s="15"/>
      <c r="K170" s="15"/>
    </row>
    <row r="171" spans="2:11" ht="15.75" x14ac:dyDescent="0.25">
      <c r="B171" s="15"/>
      <c r="C171" s="15"/>
      <c r="D171" s="15"/>
      <c r="E171" s="15"/>
      <c r="F171" s="15"/>
      <c r="G171" s="15"/>
      <c r="H171" s="15"/>
      <c r="I171" s="15"/>
      <c r="J171" s="15"/>
      <c r="K171" s="15"/>
    </row>
    <row r="172" spans="2:11" ht="15.75" x14ac:dyDescent="0.25">
      <c r="B172" s="15"/>
      <c r="C172" s="15"/>
      <c r="D172" s="15"/>
      <c r="E172" s="15"/>
      <c r="F172" s="15"/>
      <c r="G172" s="15"/>
      <c r="H172" s="15"/>
      <c r="I172" s="15"/>
      <c r="J172" s="15"/>
      <c r="K172" s="15"/>
    </row>
    <row r="173" spans="2:11" ht="15.75" x14ac:dyDescent="0.25">
      <c r="B173" s="15"/>
      <c r="C173" s="15"/>
      <c r="D173" s="15"/>
      <c r="E173" s="15"/>
      <c r="F173" s="15"/>
      <c r="G173" s="15"/>
      <c r="H173" s="15"/>
      <c r="I173" s="15"/>
      <c r="J173" s="15"/>
      <c r="K173" s="15"/>
    </row>
    <row r="174" spans="2:11" ht="15.75" x14ac:dyDescent="0.25">
      <c r="B174" s="15"/>
      <c r="C174" s="15"/>
      <c r="D174" s="15"/>
      <c r="E174" s="15"/>
      <c r="F174" s="15"/>
      <c r="G174" s="15"/>
      <c r="H174" s="15"/>
      <c r="I174" s="15"/>
      <c r="J174" s="15"/>
      <c r="K174" s="15"/>
    </row>
    <row r="175" spans="2:11" ht="15.75" x14ac:dyDescent="0.25">
      <c r="B175" s="15"/>
      <c r="C175" s="15"/>
      <c r="D175" s="15"/>
      <c r="E175" s="15"/>
      <c r="F175" s="15"/>
      <c r="G175" s="15"/>
      <c r="H175" s="15"/>
      <c r="I175" s="15"/>
      <c r="J175" s="15"/>
      <c r="K175" s="15"/>
    </row>
    <row r="176" spans="2:11" ht="15.75" x14ac:dyDescent="0.25">
      <c r="B176" s="15"/>
      <c r="C176" s="15"/>
      <c r="D176" s="15"/>
      <c r="E176" s="15"/>
      <c r="F176" s="15"/>
      <c r="G176" s="15"/>
      <c r="H176" s="15"/>
      <c r="I176" s="15"/>
      <c r="J176" s="15"/>
      <c r="K176" s="15"/>
    </row>
    <row r="177" spans="2:11" ht="15.75" x14ac:dyDescent="0.25">
      <c r="B177" s="15"/>
      <c r="C177" s="15"/>
      <c r="D177" s="15"/>
      <c r="E177" s="15"/>
      <c r="F177" s="15"/>
      <c r="G177" s="15"/>
      <c r="H177" s="15"/>
      <c r="I177" s="15"/>
      <c r="J177" s="15"/>
      <c r="K177" s="15"/>
    </row>
    <row r="178" spans="2:11" ht="15.75" x14ac:dyDescent="0.25">
      <c r="B178" s="15"/>
      <c r="C178" s="15"/>
      <c r="D178" s="15"/>
      <c r="E178" s="15"/>
      <c r="F178" s="15"/>
      <c r="G178" s="15"/>
      <c r="H178" s="15"/>
      <c r="I178" s="15"/>
      <c r="J178" s="15"/>
      <c r="K178" s="15"/>
    </row>
    <row r="179" spans="2:11" ht="15.75" x14ac:dyDescent="0.25">
      <c r="B179" s="15"/>
      <c r="C179" s="15"/>
      <c r="D179" s="15"/>
      <c r="E179" s="15"/>
      <c r="F179" s="15"/>
      <c r="G179" s="15"/>
      <c r="H179" s="15"/>
      <c r="I179" s="15"/>
      <c r="J179" s="15"/>
      <c r="K179" s="15"/>
    </row>
    <row r="180" spans="2:11" ht="15.75" x14ac:dyDescent="0.25">
      <c r="B180" s="15"/>
      <c r="C180" s="15"/>
      <c r="D180" s="15"/>
      <c r="E180" s="15"/>
      <c r="F180" s="15"/>
      <c r="G180" s="15"/>
      <c r="H180" s="15"/>
      <c r="I180" s="15"/>
      <c r="J180" s="15"/>
      <c r="K180" s="15"/>
    </row>
    <row r="181" spans="2:11" ht="15.75" x14ac:dyDescent="0.25">
      <c r="B181" s="15"/>
      <c r="C181" s="15"/>
      <c r="D181" s="15"/>
      <c r="E181" s="15"/>
      <c r="F181" s="15"/>
      <c r="G181" s="15"/>
      <c r="H181" s="15"/>
      <c r="I181" s="15"/>
      <c r="J181" s="15"/>
      <c r="K181" s="15"/>
    </row>
    <row r="182" spans="2:11" ht="15.75" x14ac:dyDescent="0.25">
      <c r="B182" s="15"/>
      <c r="C182" s="15"/>
      <c r="D182" s="15"/>
      <c r="E182" s="15"/>
      <c r="F182" s="15"/>
      <c r="G182" s="15"/>
      <c r="H182" s="15"/>
      <c r="I182" s="15"/>
      <c r="J182" s="15"/>
      <c r="K182" s="15"/>
    </row>
    <row r="183" spans="2:11" ht="15.75" x14ac:dyDescent="0.25">
      <c r="B183" s="15"/>
      <c r="C183" s="15"/>
      <c r="D183" s="15"/>
      <c r="E183" s="15"/>
      <c r="F183" s="15"/>
      <c r="G183" s="15"/>
      <c r="H183" s="15"/>
      <c r="I183" s="15"/>
      <c r="J183" s="15"/>
      <c r="K183" s="15"/>
    </row>
    <row r="184" spans="2:11" ht="15.75" x14ac:dyDescent="0.25">
      <c r="B184" s="15"/>
      <c r="C184" s="15"/>
      <c r="D184" s="15"/>
      <c r="E184" s="15"/>
      <c r="F184" s="15"/>
      <c r="G184" s="15"/>
      <c r="H184" s="15"/>
      <c r="I184" s="15"/>
      <c r="J184" s="15"/>
      <c r="K184" s="15"/>
    </row>
    <row r="185" spans="2:11" ht="15.75" x14ac:dyDescent="0.25">
      <c r="B185" s="15"/>
      <c r="C185" s="15"/>
      <c r="D185" s="15"/>
      <c r="E185" s="15"/>
      <c r="F185" s="15"/>
      <c r="G185" s="15"/>
      <c r="H185" s="15"/>
      <c r="I185" s="15"/>
      <c r="J185" s="15"/>
      <c r="K185" s="15"/>
    </row>
    <row r="186" spans="2:11" ht="15.75" x14ac:dyDescent="0.25">
      <c r="B186" s="15"/>
      <c r="C186" s="15"/>
      <c r="D186" s="15"/>
      <c r="E186" s="15"/>
      <c r="F186" s="15"/>
      <c r="G186" s="15"/>
      <c r="H186" s="15"/>
      <c r="I186" s="15"/>
      <c r="J186" s="15"/>
      <c r="K186" s="15"/>
    </row>
    <row r="187" spans="2:11" ht="15.75" x14ac:dyDescent="0.25">
      <c r="B187" s="15"/>
      <c r="C187" s="15"/>
      <c r="D187" s="15"/>
      <c r="E187" s="15"/>
      <c r="F187" s="15"/>
      <c r="G187" s="15"/>
      <c r="H187" s="15"/>
      <c r="I187" s="15"/>
      <c r="J187" s="15"/>
      <c r="K187" s="15"/>
    </row>
    <row r="188" spans="2:11" ht="15.75" x14ac:dyDescent="0.25">
      <c r="B188" s="15"/>
      <c r="C188" s="15"/>
      <c r="D188" s="15"/>
      <c r="E188" s="15"/>
      <c r="F188" s="15"/>
      <c r="G188" s="15"/>
      <c r="H188" s="15"/>
      <c r="I188" s="15"/>
      <c r="J188" s="15"/>
      <c r="K188" s="15"/>
    </row>
    <row r="189" spans="2:11" ht="15.75" x14ac:dyDescent="0.25">
      <c r="B189" s="15"/>
      <c r="C189" s="15"/>
      <c r="D189" s="15"/>
      <c r="E189" s="15"/>
      <c r="F189" s="15"/>
      <c r="G189" s="15"/>
      <c r="H189" s="15"/>
      <c r="I189" s="15"/>
      <c r="J189" s="15"/>
      <c r="K189" s="15"/>
    </row>
    <row r="190" spans="2:11" ht="15.75" x14ac:dyDescent="0.25">
      <c r="B190" s="15"/>
      <c r="C190" s="15"/>
      <c r="D190" s="15"/>
      <c r="E190" s="15"/>
      <c r="F190" s="15"/>
      <c r="G190" s="15"/>
      <c r="H190" s="15"/>
      <c r="I190" s="15"/>
      <c r="J190" s="15"/>
      <c r="K190" s="15"/>
    </row>
    <row r="191" spans="2:11" ht="15.75" x14ac:dyDescent="0.25">
      <c r="B191" s="15"/>
      <c r="C191" s="15"/>
      <c r="D191" s="15"/>
      <c r="E191" s="15"/>
      <c r="F191" s="15"/>
      <c r="G191" s="15"/>
      <c r="H191" s="15"/>
      <c r="I191" s="15"/>
      <c r="J191" s="15"/>
      <c r="K191" s="15"/>
    </row>
    <row r="192" spans="2:11" ht="15.75" x14ac:dyDescent="0.25">
      <c r="B192" s="15"/>
      <c r="C192" s="15"/>
      <c r="D192" s="15"/>
      <c r="E192" s="15"/>
      <c r="F192" s="15"/>
      <c r="G192" s="15"/>
      <c r="H192" s="15"/>
      <c r="I192" s="15"/>
      <c r="J192" s="15"/>
      <c r="K192" s="15"/>
    </row>
    <row r="193" spans="2:11" ht="15.75" x14ac:dyDescent="0.25">
      <c r="B193" s="15"/>
      <c r="C193" s="15"/>
      <c r="D193" s="15"/>
      <c r="E193" s="15"/>
      <c r="F193" s="15"/>
      <c r="G193" s="15"/>
      <c r="H193" s="15"/>
      <c r="I193" s="15"/>
      <c r="J193" s="15"/>
      <c r="K193" s="15"/>
    </row>
    <row r="194" spans="2:11" ht="15.75" x14ac:dyDescent="0.25">
      <c r="B194" s="15"/>
      <c r="C194" s="15"/>
      <c r="D194" s="15"/>
      <c r="E194" s="15"/>
      <c r="F194" s="15"/>
      <c r="G194" s="15"/>
      <c r="H194" s="15"/>
      <c r="I194" s="15"/>
      <c r="J194" s="15"/>
      <c r="K194" s="15"/>
    </row>
    <row r="195" spans="2:11" ht="15.75" x14ac:dyDescent="0.25">
      <c r="B195" s="15"/>
      <c r="C195" s="15"/>
      <c r="D195" s="15"/>
      <c r="E195" s="15"/>
      <c r="F195" s="15"/>
      <c r="G195" s="15"/>
      <c r="H195" s="15"/>
      <c r="I195" s="15"/>
      <c r="J195" s="15"/>
      <c r="K195" s="15"/>
    </row>
    <row r="196" spans="2:11" ht="15.75" x14ac:dyDescent="0.25">
      <c r="B196" s="15"/>
      <c r="C196" s="15"/>
      <c r="D196" s="15"/>
      <c r="E196" s="15"/>
      <c r="F196" s="15"/>
      <c r="G196" s="15"/>
      <c r="H196" s="15"/>
      <c r="I196" s="15"/>
      <c r="J196" s="15"/>
      <c r="K196" s="15"/>
    </row>
    <row r="197" spans="2:11" ht="15.75" x14ac:dyDescent="0.25">
      <c r="B197" s="15"/>
      <c r="C197" s="15"/>
      <c r="D197" s="15"/>
      <c r="E197" s="15"/>
      <c r="F197" s="15"/>
      <c r="G197" s="15"/>
      <c r="H197" s="15"/>
      <c r="I197" s="15"/>
      <c r="J197" s="15"/>
      <c r="K197" s="15"/>
    </row>
    <row r="198" spans="2:11" ht="15.75" x14ac:dyDescent="0.25">
      <c r="B198" s="15"/>
      <c r="C198" s="15"/>
      <c r="D198" s="15"/>
      <c r="E198" s="15"/>
      <c r="F198" s="15"/>
      <c r="G198" s="15"/>
      <c r="H198" s="15"/>
      <c r="I198" s="15"/>
      <c r="J198" s="15"/>
      <c r="K198" s="15"/>
    </row>
    <row r="199" spans="2:11" ht="15.75" x14ac:dyDescent="0.25">
      <c r="B199" s="15"/>
      <c r="C199" s="15"/>
      <c r="D199" s="15"/>
      <c r="E199" s="15"/>
      <c r="F199" s="15"/>
      <c r="G199" s="15"/>
      <c r="H199" s="15"/>
      <c r="I199" s="15"/>
      <c r="J199" s="15"/>
      <c r="K199" s="15"/>
    </row>
    <row r="200" spans="2:11" ht="15.75" x14ac:dyDescent="0.25">
      <c r="B200" s="15"/>
      <c r="C200" s="15"/>
      <c r="D200" s="15"/>
      <c r="E200" s="15"/>
      <c r="F200" s="15"/>
      <c r="G200" s="15"/>
      <c r="H200" s="15"/>
      <c r="I200" s="15"/>
      <c r="J200" s="15"/>
      <c r="K200" s="15"/>
    </row>
    <row r="201" spans="2:11" ht="15.75" x14ac:dyDescent="0.25">
      <c r="B201" s="15"/>
      <c r="C201" s="15"/>
      <c r="D201" s="15"/>
      <c r="E201" s="15"/>
      <c r="F201" s="15"/>
      <c r="G201" s="15"/>
      <c r="H201" s="15"/>
      <c r="I201" s="15"/>
      <c r="J201" s="15"/>
      <c r="K201" s="15"/>
    </row>
    <row r="202" spans="2:11" ht="15.75" x14ac:dyDescent="0.25">
      <c r="B202" s="15"/>
      <c r="C202" s="15"/>
      <c r="D202" s="15"/>
      <c r="E202" s="15"/>
      <c r="F202" s="15"/>
      <c r="G202" s="15"/>
      <c r="H202" s="15"/>
      <c r="I202" s="15"/>
      <c r="J202" s="15"/>
      <c r="K202" s="15"/>
    </row>
    <row r="203" spans="2:11" ht="15.75" x14ac:dyDescent="0.25">
      <c r="B203" s="15"/>
      <c r="C203" s="15"/>
      <c r="D203" s="15"/>
      <c r="E203" s="15"/>
      <c r="F203" s="15"/>
      <c r="G203" s="15"/>
      <c r="H203" s="15"/>
      <c r="I203" s="15"/>
      <c r="J203" s="15"/>
      <c r="K203" s="15"/>
    </row>
    <row r="204" spans="2:11" ht="15.75" x14ac:dyDescent="0.25">
      <c r="B204" s="15"/>
      <c r="C204" s="15"/>
      <c r="D204" s="15"/>
      <c r="E204" s="15"/>
      <c r="F204" s="15"/>
      <c r="G204" s="15"/>
      <c r="H204" s="15"/>
      <c r="I204" s="15"/>
      <c r="J204" s="15"/>
      <c r="K204" s="15"/>
    </row>
    <row r="205" spans="2:11" ht="15.75" x14ac:dyDescent="0.25">
      <c r="B205" s="15"/>
      <c r="C205" s="15"/>
      <c r="D205" s="15"/>
      <c r="E205" s="15"/>
      <c r="F205" s="15"/>
      <c r="G205" s="15"/>
      <c r="H205" s="15"/>
      <c r="I205" s="15"/>
      <c r="J205" s="15"/>
      <c r="K205" s="15"/>
    </row>
    <row r="206" spans="2:11" ht="15.75" x14ac:dyDescent="0.25">
      <c r="B206" s="15"/>
      <c r="C206" s="15"/>
      <c r="D206" s="15"/>
      <c r="E206" s="15"/>
      <c r="F206" s="15"/>
      <c r="G206" s="15"/>
      <c r="H206" s="15"/>
      <c r="I206" s="15"/>
      <c r="J206" s="15"/>
      <c r="K206" s="15"/>
    </row>
    <row r="207" spans="2:11" ht="15.75" x14ac:dyDescent="0.25">
      <c r="B207" s="15"/>
      <c r="C207" s="15"/>
      <c r="D207" s="15"/>
      <c r="E207" s="15"/>
      <c r="F207" s="15"/>
      <c r="G207" s="15"/>
      <c r="H207" s="15"/>
      <c r="I207" s="15"/>
      <c r="J207" s="15"/>
      <c r="K207" s="15"/>
    </row>
    <row r="208" spans="2:11" ht="15.75" x14ac:dyDescent="0.25">
      <c r="B208" s="15"/>
      <c r="C208" s="15"/>
      <c r="D208" s="15"/>
      <c r="E208" s="15"/>
      <c r="F208" s="15"/>
      <c r="G208" s="15"/>
      <c r="H208" s="15"/>
      <c r="I208" s="15"/>
      <c r="J208" s="15"/>
      <c r="K208" s="15"/>
    </row>
    <row r="209" spans="2:11" ht="15.75" x14ac:dyDescent="0.25">
      <c r="B209" s="15"/>
      <c r="C209" s="15"/>
      <c r="D209" s="15"/>
      <c r="E209" s="15"/>
      <c r="F209" s="15"/>
      <c r="G209" s="15"/>
      <c r="H209" s="15"/>
      <c r="I209" s="15"/>
      <c r="J209" s="15"/>
      <c r="K209" s="15"/>
    </row>
    <row r="210" spans="2:11" ht="15.75" x14ac:dyDescent="0.25">
      <c r="B210" s="15"/>
      <c r="C210" s="15"/>
      <c r="D210" s="15"/>
      <c r="E210" s="15"/>
      <c r="F210" s="15"/>
      <c r="G210" s="15"/>
      <c r="H210" s="15"/>
      <c r="I210" s="15"/>
      <c r="J210" s="15"/>
      <c r="K210" s="15"/>
    </row>
    <row r="211" spans="2:11" ht="15.75" x14ac:dyDescent="0.25">
      <c r="B211" s="15"/>
      <c r="C211" s="15"/>
      <c r="D211" s="15"/>
      <c r="E211" s="15"/>
      <c r="F211" s="15"/>
      <c r="G211" s="15"/>
      <c r="H211" s="15"/>
      <c r="I211" s="15"/>
      <c r="J211" s="15"/>
      <c r="K211" s="15"/>
    </row>
    <row r="212" spans="2:11" ht="15.75" x14ac:dyDescent="0.25">
      <c r="B212" s="15"/>
      <c r="C212" s="15"/>
      <c r="D212" s="15"/>
      <c r="E212" s="15"/>
      <c r="F212" s="15"/>
      <c r="G212" s="15"/>
      <c r="H212" s="15"/>
      <c r="I212" s="15"/>
      <c r="J212" s="15"/>
      <c r="K212" s="15"/>
    </row>
    <row r="213" spans="2:11" ht="15.75" x14ac:dyDescent="0.25">
      <c r="B213" s="15"/>
      <c r="C213" s="15"/>
      <c r="D213" s="15"/>
      <c r="E213" s="15"/>
      <c r="F213" s="15"/>
      <c r="G213" s="15"/>
      <c r="H213" s="15"/>
      <c r="I213" s="15"/>
      <c r="J213" s="15"/>
      <c r="K213" s="15"/>
    </row>
    <row r="214" spans="2:11" ht="15.75" x14ac:dyDescent="0.25">
      <c r="B214" s="15"/>
      <c r="C214" s="15"/>
      <c r="D214" s="15"/>
      <c r="E214" s="15"/>
      <c r="F214" s="15"/>
      <c r="G214" s="15"/>
      <c r="H214" s="15"/>
      <c r="I214" s="15"/>
      <c r="J214" s="15"/>
      <c r="K214" s="15"/>
    </row>
    <row r="215" spans="2:11" ht="15.75" x14ac:dyDescent="0.25">
      <c r="B215" s="15"/>
      <c r="C215" s="15"/>
      <c r="D215" s="15"/>
      <c r="E215" s="15"/>
      <c r="F215" s="15"/>
      <c r="G215" s="15"/>
      <c r="H215" s="15"/>
      <c r="I215" s="15"/>
      <c r="J215" s="15"/>
      <c r="K215" s="15"/>
    </row>
    <row r="216" spans="2:11" ht="15.75" x14ac:dyDescent="0.25">
      <c r="B216" s="15"/>
      <c r="C216" s="15"/>
      <c r="D216" s="15"/>
      <c r="E216" s="15"/>
      <c r="F216" s="15"/>
      <c r="G216" s="15"/>
      <c r="H216" s="15"/>
      <c r="I216" s="15"/>
      <c r="J216" s="15"/>
      <c r="K216" s="15"/>
    </row>
    <row r="217" spans="2:11" ht="15.75" x14ac:dyDescent="0.25">
      <c r="B217" s="15"/>
      <c r="C217" s="15"/>
      <c r="D217" s="15"/>
      <c r="E217" s="15"/>
      <c r="F217" s="15"/>
      <c r="G217" s="15"/>
      <c r="H217" s="15"/>
      <c r="I217" s="15"/>
      <c r="J217" s="15"/>
      <c r="K217" s="15"/>
    </row>
    <row r="218" spans="2:11" ht="15.75" x14ac:dyDescent="0.25">
      <c r="B218" s="15"/>
      <c r="C218" s="15"/>
      <c r="D218" s="15"/>
      <c r="E218" s="15"/>
      <c r="F218" s="15"/>
      <c r="G218" s="15"/>
      <c r="H218" s="15"/>
      <c r="I218" s="15"/>
      <c r="J218" s="15"/>
      <c r="K218" s="15"/>
    </row>
    <row r="219" spans="2:11" ht="15.75" x14ac:dyDescent="0.25">
      <c r="B219" s="15"/>
      <c r="C219" s="15"/>
      <c r="D219" s="15"/>
      <c r="E219" s="15"/>
      <c r="F219" s="15"/>
      <c r="G219" s="15"/>
      <c r="H219" s="15"/>
      <c r="I219" s="15"/>
      <c r="J219" s="15"/>
      <c r="K219" s="15"/>
    </row>
    <row r="220" spans="2:11" ht="15.75" x14ac:dyDescent="0.25">
      <c r="B220" s="15"/>
      <c r="C220" s="15"/>
      <c r="D220" s="15"/>
      <c r="E220" s="15"/>
      <c r="F220" s="15"/>
      <c r="G220" s="15"/>
      <c r="H220" s="15"/>
      <c r="I220" s="15"/>
      <c r="J220" s="15"/>
      <c r="K220" s="15"/>
    </row>
    <row r="221" spans="2:11" ht="15.75" x14ac:dyDescent="0.25">
      <c r="B221" s="15"/>
      <c r="C221" s="15"/>
      <c r="D221" s="15"/>
      <c r="E221" s="15"/>
      <c r="F221" s="15"/>
      <c r="G221" s="15"/>
      <c r="H221" s="15"/>
      <c r="I221" s="15"/>
      <c r="J221" s="15"/>
      <c r="K221" s="15"/>
    </row>
    <row r="222" spans="2:11" ht="15.75" x14ac:dyDescent="0.25">
      <c r="B222" s="15"/>
      <c r="C222" s="15"/>
      <c r="D222" s="15"/>
      <c r="E222" s="15"/>
      <c r="F222" s="15"/>
      <c r="G222" s="15"/>
      <c r="H222" s="15"/>
      <c r="I222" s="15"/>
      <c r="J222" s="15"/>
      <c r="K222" s="15"/>
    </row>
    <row r="223" spans="2:11" ht="15.75" x14ac:dyDescent="0.25">
      <c r="B223" s="15"/>
      <c r="C223" s="15"/>
      <c r="D223" s="15"/>
      <c r="E223" s="15"/>
      <c r="F223" s="15"/>
      <c r="G223" s="15"/>
      <c r="H223" s="15"/>
      <c r="I223" s="15"/>
      <c r="J223" s="15"/>
      <c r="K223" s="15"/>
    </row>
    <row r="224" spans="2:11" ht="15.75" x14ac:dyDescent="0.25">
      <c r="B224" s="15"/>
      <c r="C224" s="15"/>
      <c r="D224" s="15"/>
      <c r="E224" s="15"/>
      <c r="F224" s="15"/>
      <c r="G224" s="15"/>
      <c r="H224" s="15"/>
      <c r="I224" s="15"/>
      <c r="J224" s="15"/>
      <c r="K224" s="15"/>
    </row>
    <row r="225" spans="2:11" ht="15.75" x14ac:dyDescent="0.25">
      <c r="B225" s="15"/>
      <c r="C225" s="15"/>
      <c r="D225" s="15"/>
      <c r="E225" s="15"/>
      <c r="F225" s="15"/>
      <c r="G225" s="15"/>
      <c r="H225" s="15"/>
      <c r="I225" s="15"/>
      <c r="J225" s="15"/>
      <c r="K225" s="15"/>
    </row>
    <row r="226" spans="2:11" ht="15.75" x14ac:dyDescent="0.25">
      <c r="B226" s="15"/>
      <c r="C226" s="15"/>
      <c r="D226" s="15"/>
      <c r="E226" s="15"/>
      <c r="F226" s="15"/>
      <c r="G226" s="15"/>
      <c r="H226" s="15"/>
      <c r="I226" s="15"/>
      <c r="J226" s="15"/>
      <c r="K226" s="15"/>
    </row>
    <row r="227" spans="2:11" ht="15.75" x14ac:dyDescent="0.25">
      <c r="B227" s="15"/>
      <c r="C227" s="15"/>
      <c r="D227" s="15"/>
      <c r="E227" s="15"/>
      <c r="F227" s="15"/>
      <c r="G227" s="15"/>
      <c r="H227" s="15"/>
      <c r="I227" s="15"/>
      <c r="J227" s="15"/>
      <c r="K227" s="15"/>
    </row>
  </sheetData>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69"/>
  <sheetViews>
    <sheetView showGridLines="0" topLeftCell="A4" workbookViewId="0">
      <selection activeCell="F27" sqref="F27"/>
    </sheetView>
  </sheetViews>
  <sheetFormatPr baseColWidth="10" defaultColWidth="11.42578125" defaultRowHeight="15" x14ac:dyDescent="0.25"/>
  <cols>
    <col min="1" max="1" width="11.42578125" style="1"/>
    <col min="2" max="2" width="19.28515625" style="1" bestFit="1" customWidth="1"/>
    <col min="3" max="3" width="18.85546875" style="1" bestFit="1" customWidth="1"/>
    <col min="4" max="4" width="17.42578125" style="1" bestFit="1" customWidth="1"/>
    <col min="5" max="5" width="25.42578125" style="1" customWidth="1"/>
    <col min="6" max="6" width="14" style="2" customWidth="1"/>
    <col min="7" max="7" width="19.7109375" style="1" customWidth="1"/>
    <col min="8" max="8" width="16.85546875" style="1" customWidth="1"/>
    <col min="9" max="16384" width="11.42578125" style="1"/>
  </cols>
  <sheetData>
    <row r="1" spans="1:23" ht="15.75" x14ac:dyDescent="0.25">
      <c r="A1" s="15"/>
      <c r="B1" s="15"/>
      <c r="C1" s="15"/>
      <c r="D1" s="15"/>
      <c r="E1" s="15"/>
      <c r="F1" s="20"/>
      <c r="G1" s="15"/>
      <c r="H1" s="15"/>
      <c r="I1" s="15"/>
      <c r="J1" s="15"/>
      <c r="K1" s="15"/>
      <c r="L1" s="15"/>
      <c r="M1" s="15"/>
      <c r="N1" s="15"/>
      <c r="O1" s="15"/>
      <c r="P1" s="15"/>
      <c r="Q1" s="15"/>
      <c r="R1" s="15"/>
      <c r="S1" s="15"/>
      <c r="T1" s="15"/>
      <c r="U1" s="15"/>
      <c r="V1" s="15"/>
      <c r="W1" s="15"/>
    </row>
    <row r="2" spans="1:23" s="4" customFormat="1" ht="15.75" x14ac:dyDescent="0.25">
      <c r="A2" s="19"/>
      <c r="B2" s="19" t="s">
        <v>555</v>
      </c>
      <c r="C2" s="19"/>
      <c r="D2" s="19"/>
      <c r="E2" s="19"/>
      <c r="F2" s="59"/>
      <c r="G2" s="19"/>
      <c r="H2" s="19"/>
      <c r="I2" s="19"/>
      <c r="J2" s="19"/>
      <c r="K2" s="19"/>
      <c r="L2" s="19"/>
      <c r="M2" s="19"/>
      <c r="N2" s="19"/>
      <c r="O2" s="19"/>
      <c r="P2" s="19"/>
      <c r="Q2" s="19"/>
      <c r="R2" s="19"/>
      <c r="S2" s="19"/>
      <c r="T2" s="19"/>
      <c r="U2" s="19"/>
      <c r="V2" s="19"/>
      <c r="W2" s="19"/>
    </row>
    <row r="3" spans="1:23" ht="15.75" x14ac:dyDescent="0.25">
      <c r="A3" s="15"/>
      <c r="B3" s="19" t="s">
        <v>504</v>
      </c>
      <c r="C3" s="15"/>
      <c r="D3" s="15"/>
      <c r="E3" s="15"/>
      <c r="F3" s="20"/>
      <c r="G3" s="15"/>
      <c r="H3" s="15"/>
      <c r="I3" s="15"/>
      <c r="J3" s="15"/>
      <c r="K3" s="15"/>
      <c r="L3" s="15"/>
      <c r="M3" s="15"/>
      <c r="N3" s="15"/>
      <c r="O3" s="15"/>
      <c r="P3" s="15"/>
      <c r="Q3" s="15"/>
      <c r="R3" s="15"/>
      <c r="S3" s="15"/>
      <c r="T3" s="15"/>
      <c r="U3" s="15"/>
      <c r="V3" s="15"/>
      <c r="W3" s="15"/>
    </row>
    <row r="4" spans="1:23" ht="15.75" x14ac:dyDescent="0.25">
      <c r="A4" s="15"/>
      <c r="B4" s="19"/>
      <c r="C4" s="15"/>
      <c r="D4" s="15"/>
      <c r="E4" s="15"/>
      <c r="F4" s="20"/>
      <c r="G4" s="15"/>
      <c r="H4" s="15"/>
      <c r="I4" s="15"/>
      <c r="J4" s="15"/>
      <c r="K4" s="15"/>
      <c r="L4" s="15"/>
      <c r="M4" s="15"/>
      <c r="N4" s="15"/>
      <c r="O4" s="15"/>
      <c r="P4" s="15"/>
      <c r="Q4" s="15"/>
      <c r="R4" s="15"/>
      <c r="S4" s="15"/>
      <c r="T4" s="15"/>
      <c r="U4" s="15"/>
      <c r="V4" s="15"/>
      <c r="W4" s="15"/>
    </row>
    <row r="5" spans="1:23" ht="15.75" x14ac:dyDescent="0.25">
      <c r="A5" s="15"/>
      <c r="B5" s="19" t="s">
        <v>556</v>
      </c>
      <c r="C5" s="63">
        <f>Tabla21Capital[[#Totals],[Total]]</f>
        <v>176299888.49948877</v>
      </c>
      <c r="D5" s="15"/>
      <c r="E5" s="15"/>
      <c r="F5" s="20"/>
      <c r="G5" s="15"/>
      <c r="H5" s="15"/>
      <c r="I5" s="15"/>
      <c r="J5" s="15"/>
      <c r="K5" s="15"/>
      <c r="L5" s="15"/>
      <c r="M5" s="15"/>
      <c r="N5" s="15"/>
      <c r="O5" s="15"/>
      <c r="P5" s="15"/>
      <c r="Q5" s="15"/>
      <c r="R5" s="15"/>
      <c r="S5" s="15"/>
      <c r="T5" s="15"/>
      <c r="U5" s="15"/>
      <c r="V5" s="15"/>
      <c r="W5" s="15"/>
    </row>
    <row r="6" spans="1:23" ht="15.75" x14ac:dyDescent="0.25">
      <c r="A6" s="15"/>
      <c r="B6" s="236" t="s">
        <v>557</v>
      </c>
      <c r="C6" s="244">
        <v>0.3</v>
      </c>
      <c r="D6" s="240">
        <f>C5*C6</f>
        <v>52889966.549846627</v>
      </c>
      <c r="E6" s="15"/>
      <c r="F6" s="20"/>
      <c r="G6" s="15"/>
      <c r="H6" s="15"/>
      <c r="I6" s="15"/>
      <c r="J6" s="15"/>
      <c r="K6" s="15"/>
      <c r="L6" s="15"/>
      <c r="M6" s="15"/>
      <c r="N6" s="15"/>
      <c r="O6" s="15"/>
      <c r="P6" s="15"/>
      <c r="Q6" s="15"/>
      <c r="R6" s="15"/>
      <c r="S6" s="15"/>
      <c r="T6" s="15"/>
      <c r="U6" s="15"/>
      <c r="V6" s="15"/>
      <c r="W6" s="15"/>
    </row>
    <row r="7" spans="1:23" ht="15.75" x14ac:dyDescent="0.25">
      <c r="A7" s="15"/>
      <c r="B7" s="238" t="s">
        <v>558</v>
      </c>
      <c r="C7" s="60">
        <v>0.3</v>
      </c>
      <c r="D7" s="239">
        <f>C5*C7</f>
        <v>52889966.549846627</v>
      </c>
      <c r="E7" s="15"/>
      <c r="F7" s="20"/>
      <c r="G7" s="15"/>
      <c r="H7" s="15"/>
      <c r="I7" s="15"/>
      <c r="J7" s="15"/>
      <c r="K7" s="15"/>
      <c r="L7" s="15"/>
      <c r="M7" s="15"/>
      <c r="N7" s="15"/>
      <c r="O7" s="15"/>
      <c r="P7" s="15"/>
      <c r="Q7" s="15"/>
      <c r="R7" s="15"/>
      <c r="S7" s="15"/>
      <c r="T7" s="15"/>
      <c r="U7" s="15"/>
      <c r="V7" s="15"/>
      <c r="W7" s="15"/>
    </row>
    <row r="8" spans="1:23" ht="15.75" x14ac:dyDescent="0.25">
      <c r="A8" s="15"/>
      <c r="B8" s="143"/>
      <c r="C8" s="245"/>
      <c r="D8" s="241"/>
      <c r="E8" s="15"/>
      <c r="F8" s="20"/>
      <c r="G8" s="15"/>
      <c r="H8" s="15"/>
      <c r="I8" s="15"/>
      <c r="J8" s="15"/>
      <c r="K8" s="15"/>
      <c r="L8" s="15"/>
      <c r="M8" s="15"/>
      <c r="N8" s="15"/>
      <c r="O8" s="15"/>
      <c r="P8" s="15"/>
      <c r="Q8" s="15"/>
      <c r="R8" s="15"/>
      <c r="S8" s="15"/>
      <c r="T8" s="15"/>
      <c r="U8" s="15"/>
      <c r="V8" s="15"/>
      <c r="W8" s="15"/>
    </row>
    <row r="9" spans="1:23" ht="15.75" x14ac:dyDescent="0.25">
      <c r="A9" s="15"/>
      <c r="B9" s="15"/>
      <c r="C9" s="23">
        <f>C5</f>
        <v>176299888.49948877</v>
      </c>
      <c r="D9" s="23">
        <f>SUM(D6:D8)</f>
        <v>105779933.09969325</v>
      </c>
      <c r="E9" s="15"/>
      <c r="F9" s="20"/>
      <c r="G9" s="15"/>
      <c r="H9" s="15"/>
      <c r="I9" s="15"/>
      <c r="J9" s="15"/>
      <c r="K9" s="15"/>
      <c r="L9" s="15"/>
      <c r="M9" s="15"/>
      <c r="N9" s="15"/>
      <c r="O9" s="15"/>
      <c r="P9" s="15"/>
      <c r="Q9" s="15"/>
      <c r="R9" s="15"/>
      <c r="S9" s="15"/>
      <c r="T9" s="15"/>
      <c r="U9" s="15"/>
      <c r="V9" s="15"/>
      <c r="W9" s="15"/>
    </row>
    <row r="10" spans="1:23" ht="15.75" x14ac:dyDescent="0.25">
      <c r="A10" s="15"/>
      <c r="B10" s="15"/>
      <c r="C10" s="15"/>
      <c r="D10" s="15"/>
      <c r="E10" s="15"/>
      <c r="F10" s="20"/>
      <c r="G10" s="15"/>
      <c r="H10" s="15"/>
      <c r="I10" s="15"/>
      <c r="J10" s="15"/>
      <c r="K10" s="15"/>
      <c r="L10" s="15"/>
      <c r="M10" s="15"/>
      <c r="N10" s="15"/>
      <c r="O10" s="15"/>
      <c r="P10" s="15"/>
      <c r="Q10" s="15"/>
      <c r="R10" s="15"/>
      <c r="S10" s="15"/>
      <c r="T10" s="15"/>
      <c r="U10" s="15"/>
      <c r="V10" s="15"/>
      <c r="W10" s="15"/>
    </row>
    <row r="11" spans="1:23" ht="15.75" x14ac:dyDescent="0.25">
      <c r="A11" s="15"/>
      <c r="B11" s="236" t="s">
        <v>559</v>
      </c>
      <c r="C11" s="246" t="s">
        <v>554</v>
      </c>
      <c r="D11" s="144"/>
      <c r="E11" s="15"/>
      <c r="F11" s="20"/>
      <c r="G11" s="15"/>
      <c r="H11" s="15"/>
      <c r="I11" s="15"/>
      <c r="J11" s="15"/>
      <c r="K11" s="15"/>
      <c r="L11" s="15"/>
      <c r="M11" s="15"/>
      <c r="N11" s="15"/>
      <c r="O11" s="15"/>
      <c r="P11" s="15"/>
      <c r="Q11" s="15"/>
      <c r="R11" s="15"/>
      <c r="S11" s="15"/>
      <c r="T11" s="15"/>
      <c r="U11" s="15"/>
      <c r="V11" s="15"/>
      <c r="W11" s="15"/>
    </row>
    <row r="12" spans="1:23" ht="15.75" x14ac:dyDescent="0.25">
      <c r="A12" s="15"/>
      <c r="B12" s="238" t="s">
        <v>556</v>
      </c>
      <c r="C12" s="57"/>
      <c r="D12" s="247"/>
      <c r="E12" s="15"/>
      <c r="F12" s="20"/>
      <c r="G12" s="15"/>
      <c r="H12" s="15"/>
      <c r="I12" s="15"/>
      <c r="J12" s="15"/>
      <c r="K12" s="15"/>
      <c r="L12" s="15"/>
      <c r="M12" s="15"/>
      <c r="N12" s="15"/>
      <c r="O12" s="15"/>
      <c r="P12" s="15"/>
      <c r="Q12" s="15"/>
      <c r="R12" s="15"/>
      <c r="S12" s="15"/>
      <c r="T12" s="15"/>
      <c r="U12" s="15"/>
      <c r="V12" s="15"/>
      <c r="W12" s="15"/>
    </row>
    <row r="13" spans="1:23" ht="15.75" x14ac:dyDescent="0.25">
      <c r="A13" s="15"/>
      <c r="B13" s="248">
        <v>79000000</v>
      </c>
      <c r="C13" s="57"/>
      <c r="D13" s="247"/>
      <c r="E13" s="15"/>
      <c r="F13" s="20"/>
      <c r="G13" s="15"/>
      <c r="H13" s="15"/>
      <c r="I13" s="15"/>
      <c r="J13" s="15"/>
      <c r="K13" s="15"/>
      <c r="L13" s="15"/>
      <c r="M13" s="15"/>
      <c r="N13" s="15"/>
      <c r="O13" s="15"/>
      <c r="P13" s="15"/>
      <c r="Q13" s="15"/>
      <c r="R13" s="15"/>
      <c r="S13" s="15"/>
      <c r="T13" s="15"/>
      <c r="U13" s="15"/>
      <c r="V13" s="15"/>
      <c r="W13" s="15"/>
    </row>
    <row r="14" spans="1:23" ht="15.75" x14ac:dyDescent="0.25">
      <c r="A14" s="15"/>
      <c r="B14" s="238"/>
      <c r="C14" s="61"/>
      <c r="D14" s="249"/>
      <c r="E14" s="15"/>
      <c r="F14" s="20"/>
      <c r="G14" s="15"/>
      <c r="H14" s="15"/>
      <c r="I14" s="15"/>
      <c r="J14" s="15"/>
      <c r="K14" s="15"/>
      <c r="L14" s="15"/>
      <c r="M14" s="15"/>
      <c r="N14" s="15"/>
      <c r="O14" s="15"/>
      <c r="P14" s="15"/>
      <c r="Q14" s="15"/>
      <c r="R14" s="15"/>
      <c r="S14" s="15"/>
      <c r="T14" s="15"/>
      <c r="U14" s="15"/>
      <c r="V14" s="15"/>
      <c r="W14" s="15"/>
    </row>
    <row r="15" spans="1:23" ht="15.75" x14ac:dyDescent="0.25">
      <c r="A15" s="15"/>
      <c r="B15" s="238"/>
      <c r="C15" s="61"/>
      <c r="D15" s="249"/>
      <c r="E15" s="15"/>
      <c r="F15" s="20"/>
      <c r="G15" s="15"/>
      <c r="H15" s="15"/>
      <c r="I15" s="15"/>
      <c r="J15" s="15"/>
      <c r="K15" s="15"/>
      <c r="L15" s="15"/>
      <c r="M15" s="15"/>
      <c r="N15" s="15"/>
      <c r="O15" s="15"/>
      <c r="P15" s="15"/>
      <c r="Q15" s="15"/>
      <c r="R15" s="15"/>
      <c r="S15" s="15"/>
      <c r="T15" s="15"/>
      <c r="U15" s="15"/>
      <c r="V15" s="15"/>
      <c r="W15" s="15"/>
    </row>
    <row r="16" spans="1:23" ht="15.75" x14ac:dyDescent="0.25">
      <c r="A16" s="15"/>
      <c r="B16" s="238"/>
      <c r="C16" s="61"/>
      <c r="D16" s="249"/>
      <c r="E16" s="15"/>
      <c r="F16" s="20"/>
      <c r="G16" s="15"/>
      <c r="H16" s="15"/>
      <c r="I16" s="15"/>
      <c r="J16" s="15"/>
      <c r="K16" s="15"/>
      <c r="L16" s="15"/>
      <c r="M16" s="15"/>
      <c r="N16" s="15"/>
      <c r="O16" s="15"/>
      <c r="P16" s="15"/>
      <c r="Q16" s="15"/>
      <c r="R16" s="15"/>
      <c r="S16" s="15"/>
      <c r="T16" s="15"/>
      <c r="U16" s="15"/>
      <c r="V16" s="15"/>
      <c r="W16" s="15"/>
    </row>
    <row r="17" spans="1:23" ht="15.75" x14ac:dyDescent="0.25">
      <c r="A17" s="15"/>
      <c r="B17" s="250" t="s">
        <v>559</v>
      </c>
      <c r="C17" s="62"/>
      <c r="D17" s="251"/>
      <c r="E17" s="15"/>
      <c r="F17" s="20"/>
      <c r="G17" s="15"/>
      <c r="H17" s="15"/>
      <c r="I17" s="15"/>
      <c r="J17" s="15"/>
      <c r="K17" s="15"/>
      <c r="L17" s="15"/>
      <c r="M17" s="15"/>
      <c r="N17" s="15"/>
      <c r="O17" s="15"/>
      <c r="P17" s="15"/>
      <c r="Q17" s="15"/>
      <c r="R17" s="15"/>
      <c r="S17" s="15"/>
      <c r="T17" s="15"/>
      <c r="U17" s="15"/>
      <c r="V17" s="15"/>
      <c r="W17" s="15"/>
    </row>
    <row r="18" spans="1:23" ht="15.75" x14ac:dyDescent="0.25">
      <c r="A18" s="15"/>
      <c r="B18" s="143"/>
      <c r="C18" s="95" t="s">
        <v>560</v>
      </c>
      <c r="D18" s="182">
        <f>B13</f>
        <v>79000000</v>
      </c>
      <c r="E18" s="15"/>
      <c r="F18" s="20"/>
      <c r="G18" s="15"/>
      <c r="H18" s="15"/>
      <c r="I18" s="15"/>
      <c r="J18" s="15"/>
      <c r="K18" s="15"/>
      <c r="L18" s="15"/>
      <c r="M18" s="15"/>
      <c r="N18" s="15"/>
      <c r="O18" s="15"/>
      <c r="P18" s="15"/>
      <c r="Q18" s="15"/>
      <c r="R18" s="15"/>
      <c r="S18" s="15"/>
      <c r="T18" s="15"/>
      <c r="U18" s="15"/>
      <c r="V18" s="15"/>
      <c r="W18" s="15"/>
    </row>
    <row r="19" spans="1:23" ht="15.75" x14ac:dyDescent="0.25">
      <c r="A19" s="15"/>
      <c r="B19" s="15"/>
      <c r="C19" s="15"/>
      <c r="D19" s="15"/>
      <c r="E19" s="15"/>
      <c r="F19" s="20"/>
      <c r="G19" s="15"/>
      <c r="H19" s="15"/>
      <c r="I19" s="15"/>
      <c r="J19" s="15"/>
      <c r="K19" s="15"/>
      <c r="L19" s="15"/>
      <c r="M19" s="15"/>
      <c r="N19" s="15"/>
      <c r="O19" s="15"/>
      <c r="P19" s="15"/>
      <c r="Q19" s="15"/>
      <c r="R19" s="15"/>
      <c r="S19" s="15"/>
      <c r="T19" s="15"/>
      <c r="U19" s="15"/>
      <c r="V19" s="15"/>
      <c r="W19" s="15"/>
    </row>
    <row r="20" spans="1:23" ht="31.5" x14ac:dyDescent="0.25">
      <c r="A20" s="15"/>
      <c r="B20" s="15"/>
      <c r="C20" s="15"/>
      <c r="D20" s="15"/>
      <c r="E20" s="146" t="s">
        <v>561</v>
      </c>
      <c r="F20" s="163" t="s">
        <v>562</v>
      </c>
      <c r="G20" s="184" t="s">
        <v>563</v>
      </c>
      <c r="H20" s="164" t="s">
        <v>564</v>
      </c>
      <c r="I20" s="15"/>
      <c r="J20" s="15"/>
      <c r="K20" s="15"/>
      <c r="L20" s="15"/>
      <c r="M20" s="15"/>
      <c r="N20" s="15"/>
      <c r="O20" s="15"/>
      <c r="P20" s="15"/>
      <c r="Q20" s="15"/>
      <c r="R20" s="15"/>
      <c r="S20" s="15"/>
      <c r="T20" s="15"/>
      <c r="U20" s="15"/>
      <c r="V20" s="15"/>
      <c r="W20" s="15"/>
    </row>
    <row r="21" spans="1:23" ht="15.75" x14ac:dyDescent="0.25">
      <c r="A21" s="15"/>
      <c r="B21" s="15"/>
      <c r="C21" s="15"/>
      <c r="D21" s="15"/>
      <c r="E21" s="171" t="s">
        <v>565</v>
      </c>
      <c r="F21" s="155">
        <v>2</v>
      </c>
      <c r="G21" s="139">
        <v>20051413</v>
      </c>
      <c r="H21" s="140">
        <f>Tabla26Propuesta[[#This Row],[UNIDADES]]*Tabla26Propuesta[[#This Row],[VALOR UNITARO]]</f>
        <v>40102826</v>
      </c>
      <c r="I21" s="15"/>
      <c r="J21" s="15"/>
      <c r="K21" s="15"/>
      <c r="L21" s="15"/>
      <c r="M21" s="15"/>
      <c r="N21" s="15"/>
      <c r="O21" s="15"/>
      <c r="P21" s="15"/>
      <c r="Q21" s="15"/>
      <c r="R21" s="15"/>
      <c r="S21" s="15"/>
      <c r="T21" s="15"/>
      <c r="U21" s="15"/>
      <c r="V21" s="15"/>
      <c r="W21" s="15"/>
    </row>
    <row r="22" spans="1:23" ht="15.75" x14ac:dyDescent="0.25">
      <c r="A22" s="15"/>
      <c r="B22" s="15"/>
      <c r="C22" s="15"/>
      <c r="D22" s="15"/>
      <c r="E22" s="171" t="s">
        <v>566</v>
      </c>
      <c r="F22" s="155">
        <v>7</v>
      </c>
      <c r="G22" s="139">
        <v>5472221</v>
      </c>
      <c r="H22" s="140">
        <f>Tabla26Propuesta[[#This Row],[UNIDADES]]*Tabla26Propuesta[[#This Row],[VALOR UNITARO]]</f>
        <v>38305547</v>
      </c>
      <c r="I22" s="15"/>
      <c r="J22" s="15"/>
      <c r="K22" s="15"/>
      <c r="L22" s="15"/>
      <c r="M22" s="15"/>
      <c r="N22" s="15"/>
      <c r="O22" s="15"/>
      <c r="P22" s="15"/>
      <c r="Q22" s="15"/>
      <c r="R22" s="15"/>
      <c r="S22" s="15"/>
      <c r="T22" s="15"/>
      <c r="U22" s="15"/>
      <c r="V22" s="15"/>
      <c r="W22" s="15"/>
    </row>
    <row r="23" spans="1:23" ht="15.75" x14ac:dyDescent="0.25">
      <c r="A23" s="15"/>
      <c r="B23" s="15"/>
      <c r="C23" s="15"/>
      <c r="D23" s="15"/>
      <c r="E23" s="151" t="s">
        <v>66</v>
      </c>
      <c r="F23" s="167">
        <f>SUBTOTAL(109,Tabla26Propuesta[UNIDADES])</f>
        <v>9</v>
      </c>
      <c r="G23" s="116"/>
      <c r="H23" s="117">
        <f>SUM(H21:H22)</f>
        <v>78408373</v>
      </c>
      <c r="I23" s="15"/>
      <c r="J23" s="15"/>
      <c r="K23" s="15"/>
      <c r="L23" s="15"/>
      <c r="M23" s="15"/>
      <c r="N23" s="15"/>
      <c r="O23" s="15"/>
      <c r="P23" s="15"/>
      <c r="Q23" s="15"/>
      <c r="R23" s="15"/>
      <c r="S23" s="15"/>
      <c r="T23" s="15"/>
      <c r="U23" s="15"/>
      <c r="V23" s="15"/>
      <c r="W23" s="15"/>
    </row>
    <row r="24" spans="1:23" ht="15.75" x14ac:dyDescent="0.25">
      <c r="A24" s="15"/>
      <c r="B24" s="15"/>
      <c r="C24" s="15"/>
      <c r="D24" s="15"/>
      <c r="E24" s="15"/>
      <c r="F24" s="20"/>
      <c r="G24" s="15"/>
      <c r="H24" s="15"/>
      <c r="I24" s="15"/>
      <c r="J24" s="15"/>
      <c r="K24" s="15"/>
      <c r="L24" s="15"/>
      <c r="M24" s="15"/>
      <c r="N24" s="15"/>
      <c r="O24" s="15"/>
      <c r="P24" s="15"/>
      <c r="Q24" s="15"/>
      <c r="R24" s="15"/>
      <c r="S24" s="15"/>
      <c r="T24" s="15"/>
      <c r="U24" s="15"/>
      <c r="V24" s="15"/>
      <c r="W24" s="15"/>
    </row>
    <row r="25" spans="1:23" ht="15.75" x14ac:dyDescent="0.25">
      <c r="A25" s="15"/>
      <c r="B25" s="15"/>
      <c r="C25" s="15"/>
      <c r="D25" s="15"/>
      <c r="E25" s="15"/>
      <c r="F25" s="20"/>
      <c r="G25" s="15"/>
      <c r="H25" s="15"/>
      <c r="I25" s="15"/>
      <c r="J25" s="15"/>
      <c r="K25" s="15"/>
      <c r="L25" s="15"/>
      <c r="M25" s="15"/>
      <c r="N25" s="15"/>
      <c r="O25" s="15"/>
      <c r="P25" s="15"/>
      <c r="Q25" s="15"/>
      <c r="R25" s="15"/>
      <c r="S25" s="15"/>
      <c r="T25" s="15"/>
      <c r="U25" s="15"/>
      <c r="V25" s="15"/>
      <c r="W25" s="15"/>
    </row>
    <row r="26" spans="1:23" ht="15.75" x14ac:dyDescent="0.25">
      <c r="A26" s="15"/>
      <c r="B26" s="15"/>
      <c r="C26" s="15"/>
      <c r="D26" s="15"/>
      <c r="E26" s="15"/>
      <c r="F26" s="20"/>
      <c r="G26" s="15"/>
      <c r="H26" s="15"/>
      <c r="I26" s="15"/>
      <c r="J26" s="15"/>
      <c r="K26" s="15"/>
      <c r="L26" s="15"/>
      <c r="M26" s="15"/>
      <c r="N26" s="15"/>
      <c r="O26" s="15"/>
      <c r="P26" s="15"/>
      <c r="Q26" s="15"/>
      <c r="R26" s="15"/>
      <c r="S26" s="15"/>
      <c r="T26" s="15"/>
      <c r="U26" s="15"/>
      <c r="V26" s="15"/>
      <c r="W26" s="15"/>
    </row>
    <row r="27" spans="1:23" ht="15.75" x14ac:dyDescent="0.25">
      <c r="A27" s="15"/>
      <c r="B27" s="15"/>
      <c r="C27" s="15"/>
      <c r="D27" s="15"/>
      <c r="E27" s="15"/>
      <c r="F27" s="20"/>
      <c r="G27" s="15"/>
      <c r="H27" s="15"/>
      <c r="I27" s="15"/>
      <c r="J27" s="15"/>
      <c r="K27" s="15"/>
      <c r="L27" s="15"/>
      <c r="M27" s="15"/>
      <c r="N27" s="15"/>
      <c r="O27" s="15"/>
      <c r="P27" s="15"/>
      <c r="Q27" s="15"/>
      <c r="R27" s="15"/>
      <c r="S27" s="15"/>
      <c r="T27" s="15"/>
      <c r="U27" s="15"/>
      <c r="V27" s="15"/>
      <c r="W27" s="15"/>
    </row>
    <row r="28" spans="1:23" ht="15.75" x14ac:dyDescent="0.25">
      <c r="A28" s="15"/>
      <c r="B28" s="15"/>
      <c r="C28" s="15"/>
      <c r="D28" s="15"/>
      <c r="E28" s="15"/>
      <c r="F28" s="20"/>
      <c r="G28" s="15"/>
      <c r="H28" s="15"/>
      <c r="I28" s="15"/>
      <c r="J28" s="15"/>
      <c r="K28" s="15"/>
      <c r="L28" s="15"/>
      <c r="M28" s="15"/>
      <c r="N28" s="15"/>
      <c r="O28" s="15"/>
      <c r="P28" s="15"/>
      <c r="Q28" s="15"/>
      <c r="R28" s="15"/>
      <c r="S28" s="15"/>
      <c r="T28" s="15"/>
      <c r="U28" s="15"/>
      <c r="V28" s="15"/>
      <c r="W28" s="15"/>
    </row>
    <row r="29" spans="1:23" ht="15.75" x14ac:dyDescent="0.25">
      <c r="A29" s="15"/>
      <c r="B29" s="15"/>
      <c r="C29" s="15"/>
      <c r="D29" s="15"/>
      <c r="E29" s="15"/>
      <c r="F29" s="20"/>
      <c r="G29" s="15"/>
      <c r="H29" s="15"/>
      <c r="I29" s="15"/>
      <c r="J29" s="15"/>
      <c r="K29" s="15"/>
      <c r="L29" s="15"/>
      <c r="M29" s="15"/>
      <c r="N29" s="15"/>
      <c r="O29" s="15"/>
      <c r="P29" s="15"/>
      <c r="Q29" s="15"/>
      <c r="R29" s="15"/>
      <c r="S29" s="15"/>
      <c r="T29" s="15"/>
      <c r="U29" s="15"/>
      <c r="V29" s="15"/>
      <c r="W29" s="15"/>
    </row>
    <row r="30" spans="1:23" ht="15.75" x14ac:dyDescent="0.25">
      <c r="A30" s="15"/>
      <c r="B30" s="15"/>
      <c r="C30" s="15"/>
      <c r="D30" s="15"/>
      <c r="E30" s="15"/>
      <c r="F30" s="20"/>
      <c r="G30" s="15"/>
      <c r="H30" s="15"/>
      <c r="I30" s="15"/>
      <c r="J30" s="15"/>
      <c r="K30" s="15"/>
      <c r="L30" s="15"/>
      <c r="M30" s="15"/>
      <c r="N30" s="15"/>
      <c r="O30" s="15"/>
      <c r="P30" s="15"/>
      <c r="Q30" s="15"/>
      <c r="R30" s="15"/>
      <c r="S30" s="15"/>
      <c r="T30" s="15"/>
      <c r="U30" s="15"/>
      <c r="V30" s="15"/>
      <c r="W30" s="15"/>
    </row>
    <row r="31" spans="1:23" ht="15.75" x14ac:dyDescent="0.25">
      <c r="A31" s="15"/>
      <c r="B31" s="15"/>
      <c r="C31" s="15"/>
      <c r="D31" s="15"/>
      <c r="E31" s="15"/>
      <c r="F31" s="20"/>
      <c r="G31" s="15"/>
      <c r="H31" s="15"/>
      <c r="I31" s="15"/>
      <c r="J31" s="15"/>
      <c r="K31" s="15"/>
      <c r="L31" s="15"/>
      <c r="M31" s="15"/>
      <c r="N31" s="15"/>
      <c r="O31" s="15"/>
      <c r="P31" s="15"/>
      <c r="Q31" s="15"/>
      <c r="R31" s="15"/>
      <c r="S31" s="15"/>
      <c r="T31" s="15"/>
      <c r="U31" s="15"/>
      <c r="V31" s="15"/>
      <c r="W31" s="15"/>
    </row>
    <row r="32" spans="1:23" ht="15.75" x14ac:dyDescent="0.25">
      <c r="A32" s="15"/>
      <c r="B32" s="15"/>
      <c r="C32" s="15"/>
      <c r="D32" s="15"/>
      <c r="E32" s="15"/>
      <c r="F32" s="20"/>
      <c r="G32" s="15"/>
      <c r="H32" s="15"/>
      <c r="I32" s="15"/>
      <c r="J32" s="15"/>
      <c r="K32" s="15"/>
      <c r="L32" s="15"/>
      <c r="M32" s="15"/>
      <c r="N32" s="15"/>
      <c r="O32" s="15"/>
      <c r="P32" s="15"/>
      <c r="Q32" s="15"/>
      <c r="R32" s="15"/>
      <c r="S32" s="15"/>
      <c r="T32" s="15"/>
      <c r="U32" s="15"/>
      <c r="V32" s="15"/>
      <c r="W32" s="15"/>
    </row>
    <row r="33" spans="1:23" ht="15.75" x14ac:dyDescent="0.25">
      <c r="A33" s="15"/>
      <c r="B33" s="15"/>
      <c r="C33" s="15"/>
      <c r="D33" s="15"/>
      <c r="E33" s="15"/>
      <c r="F33" s="20"/>
      <c r="G33" s="15"/>
      <c r="H33" s="15"/>
      <c r="I33" s="15"/>
      <c r="J33" s="15"/>
      <c r="K33" s="15"/>
      <c r="L33" s="15"/>
      <c r="M33" s="15"/>
      <c r="N33" s="15"/>
      <c r="O33" s="15"/>
      <c r="P33" s="15"/>
      <c r="Q33" s="15"/>
      <c r="R33" s="15"/>
      <c r="S33" s="15"/>
      <c r="T33" s="15"/>
      <c r="U33" s="15"/>
      <c r="V33" s="15"/>
      <c r="W33" s="15"/>
    </row>
    <row r="34" spans="1:23" ht="15.75" x14ac:dyDescent="0.25">
      <c r="A34" s="15"/>
      <c r="B34" s="15"/>
      <c r="C34" s="15"/>
      <c r="D34" s="15"/>
      <c r="E34" s="15"/>
      <c r="F34" s="20"/>
      <c r="G34" s="15"/>
      <c r="H34" s="15"/>
      <c r="I34" s="15"/>
      <c r="J34" s="15"/>
      <c r="K34" s="15"/>
      <c r="L34" s="15"/>
      <c r="M34" s="15"/>
      <c r="N34" s="15"/>
      <c r="O34" s="15"/>
      <c r="P34" s="15"/>
      <c r="Q34" s="15"/>
      <c r="R34" s="15"/>
      <c r="S34" s="15"/>
      <c r="T34" s="15"/>
      <c r="U34" s="15"/>
      <c r="V34" s="15"/>
      <c r="W34" s="15"/>
    </row>
    <row r="35" spans="1:23" ht="15.75" x14ac:dyDescent="0.25">
      <c r="A35" s="15"/>
      <c r="B35" s="15"/>
      <c r="C35" s="15"/>
      <c r="D35" s="15"/>
      <c r="E35" s="15"/>
      <c r="F35" s="20"/>
      <c r="G35" s="15"/>
      <c r="H35" s="15"/>
      <c r="I35" s="15"/>
      <c r="J35" s="15"/>
      <c r="K35" s="15"/>
      <c r="L35" s="15"/>
      <c r="M35" s="15"/>
      <c r="N35" s="15"/>
      <c r="O35" s="15"/>
      <c r="P35" s="15"/>
      <c r="Q35" s="15"/>
      <c r="R35" s="15"/>
      <c r="S35" s="15"/>
      <c r="T35" s="15"/>
      <c r="U35" s="15"/>
      <c r="V35" s="15"/>
      <c r="W35" s="15"/>
    </row>
    <row r="36" spans="1:23" ht="15.75" x14ac:dyDescent="0.25">
      <c r="A36" s="15"/>
      <c r="B36" s="15"/>
      <c r="C36" s="15"/>
      <c r="D36" s="15"/>
      <c r="E36" s="15"/>
      <c r="F36" s="20"/>
      <c r="G36" s="15"/>
      <c r="H36" s="15"/>
      <c r="I36" s="15"/>
      <c r="J36" s="15"/>
      <c r="K36" s="15"/>
      <c r="L36" s="15"/>
      <c r="M36" s="15"/>
      <c r="N36" s="15"/>
      <c r="O36" s="15"/>
      <c r="P36" s="15"/>
      <c r="Q36" s="15"/>
      <c r="R36" s="15"/>
      <c r="S36" s="15"/>
      <c r="T36" s="15"/>
      <c r="U36" s="15"/>
      <c r="V36" s="15"/>
      <c r="W36" s="15"/>
    </row>
    <row r="37" spans="1:23" ht="15.75" x14ac:dyDescent="0.25">
      <c r="A37" s="15"/>
      <c r="B37" s="15"/>
      <c r="C37" s="15"/>
      <c r="D37" s="15"/>
      <c r="E37" s="15"/>
      <c r="F37" s="20"/>
      <c r="G37" s="15"/>
      <c r="H37" s="15"/>
      <c r="I37" s="15"/>
      <c r="J37" s="15"/>
      <c r="K37" s="15"/>
      <c r="L37" s="15"/>
      <c r="M37" s="15"/>
      <c r="N37" s="15"/>
      <c r="O37" s="15"/>
      <c r="P37" s="15"/>
      <c r="Q37" s="15"/>
      <c r="R37" s="15"/>
      <c r="S37" s="15"/>
      <c r="T37" s="15"/>
      <c r="U37" s="15"/>
      <c r="V37" s="15"/>
      <c r="W37" s="15"/>
    </row>
    <row r="38" spans="1:23" ht="15.75" x14ac:dyDescent="0.25">
      <c r="A38" s="15"/>
      <c r="B38" s="15"/>
      <c r="C38" s="15"/>
      <c r="D38" s="15"/>
      <c r="E38" s="15"/>
      <c r="F38" s="20"/>
      <c r="G38" s="15"/>
      <c r="H38" s="15"/>
      <c r="I38" s="15"/>
      <c r="J38" s="15"/>
      <c r="K38" s="15"/>
      <c r="L38" s="15"/>
      <c r="M38" s="15"/>
      <c r="N38" s="15"/>
      <c r="O38" s="15"/>
      <c r="P38" s="15"/>
      <c r="Q38" s="15"/>
      <c r="R38" s="15"/>
      <c r="S38" s="15"/>
      <c r="T38" s="15"/>
      <c r="U38" s="15"/>
      <c r="V38" s="15"/>
      <c r="W38" s="15"/>
    </row>
    <row r="39" spans="1:23" ht="15.75" x14ac:dyDescent="0.25">
      <c r="A39" s="15"/>
      <c r="B39" s="15"/>
      <c r="C39" s="15"/>
      <c r="D39" s="15"/>
      <c r="E39" s="15"/>
      <c r="F39" s="20"/>
      <c r="G39" s="15"/>
      <c r="H39" s="15"/>
      <c r="I39" s="15"/>
      <c r="J39" s="15"/>
      <c r="K39" s="15"/>
      <c r="L39" s="15"/>
      <c r="M39" s="15"/>
      <c r="N39" s="15"/>
      <c r="O39" s="15"/>
      <c r="P39" s="15"/>
      <c r="Q39" s="15"/>
      <c r="R39" s="15"/>
      <c r="S39" s="15"/>
      <c r="T39" s="15"/>
      <c r="U39" s="15"/>
      <c r="V39" s="15"/>
      <c r="W39" s="15"/>
    </row>
    <row r="40" spans="1:23" ht="15.75" x14ac:dyDescent="0.25">
      <c r="A40" s="15"/>
      <c r="B40" s="15"/>
      <c r="C40" s="15"/>
      <c r="D40" s="15"/>
      <c r="E40" s="15"/>
      <c r="F40" s="20"/>
      <c r="G40" s="15"/>
      <c r="H40" s="15"/>
      <c r="I40" s="15"/>
      <c r="J40" s="15"/>
      <c r="K40" s="15"/>
      <c r="L40" s="15"/>
      <c r="M40" s="15"/>
      <c r="N40" s="15"/>
      <c r="O40" s="15"/>
      <c r="P40" s="15"/>
      <c r="Q40" s="15"/>
      <c r="R40" s="15"/>
      <c r="S40" s="15"/>
      <c r="T40" s="15"/>
      <c r="U40" s="15"/>
      <c r="V40" s="15"/>
      <c r="W40" s="15"/>
    </row>
    <row r="41" spans="1:23" ht="15.75" x14ac:dyDescent="0.25">
      <c r="A41" s="15"/>
      <c r="B41" s="15"/>
      <c r="C41" s="15"/>
      <c r="D41" s="15"/>
      <c r="E41" s="15"/>
      <c r="F41" s="20"/>
      <c r="G41" s="15"/>
      <c r="H41" s="15"/>
      <c r="I41" s="15"/>
      <c r="J41" s="15"/>
      <c r="K41" s="15"/>
      <c r="L41" s="15"/>
      <c r="M41" s="15"/>
      <c r="N41" s="15"/>
      <c r="O41" s="15"/>
      <c r="P41" s="15"/>
      <c r="Q41" s="15"/>
      <c r="R41" s="15"/>
      <c r="S41" s="15"/>
      <c r="T41" s="15"/>
      <c r="U41" s="15"/>
      <c r="V41" s="15"/>
      <c r="W41" s="15"/>
    </row>
    <row r="42" spans="1:23" ht="15.75" x14ac:dyDescent="0.25">
      <c r="A42" s="15"/>
      <c r="B42" s="15"/>
      <c r="C42" s="15"/>
      <c r="D42" s="15"/>
      <c r="E42" s="15"/>
      <c r="F42" s="20"/>
      <c r="G42" s="15"/>
      <c r="H42" s="15"/>
      <c r="I42" s="15"/>
      <c r="J42" s="15"/>
      <c r="K42" s="15"/>
      <c r="L42" s="15"/>
      <c r="M42" s="15"/>
      <c r="N42" s="15"/>
      <c r="O42" s="15"/>
      <c r="P42" s="15"/>
      <c r="Q42" s="15"/>
      <c r="R42" s="15"/>
      <c r="S42" s="15"/>
      <c r="T42" s="15"/>
      <c r="U42" s="15"/>
      <c r="V42" s="15"/>
      <c r="W42" s="15"/>
    </row>
    <row r="43" spans="1:23" ht="15.75" x14ac:dyDescent="0.25">
      <c r="A43" s="15"/>
      <c r="B43" s="15"/>
      <c r="C43" s="15"/>
      <c r="D43" s="15"/>
      <c r="E43" s="15"/>
      <c r="F43" s="20"/>
      <c r="G43" s="15"/>
      <c r="H43" s="15"/>
      <c r="I43" s="15"/>
      <c r="J43" s="15"/>
      <c r="K43" s="15"/>
      <c r="L43" s="15"/>
      <c r="M43" s="15"/>
      <c r="N43" s="15"/>
      <c r="O43" s="15"/>
      <c r="P43" s="15"/>
      <c r="Q43" s="15"/>
      <c r="R43" s="15"/>
      <c r="S43" s="15"/>
      <c r="T43" s="15"/>
      <c r="U43" s="15"/>
      <c r="V43" s="15"/>
      <c r="W43" s="15"/>
    </row>
    <row r="44" spans="1:23" ht="15.75" x14ac:dyDescent="0.25">
      <c r="A44" s="15"/>
      <c r="B44" s="15"/>
      <c r="C44" s="15"/>
      <c r="D44" s="15"/>
      <c r="E44" s="15"/>
      <c r="F44" s="20"/>
      <c r="G44" s="15"/>
      <c r="H44" s="15"/>
      <c r="I44" s="15"/>
      <c r="J44" s="15"/>
      <c r="K44" s="15"/>
      <c r="L44" s="15"/>
      <c r="M44" s="15"/>
      <c r="N44" s="15"/>
      <c r="O44" s="15"/>
      <c r="P44" s="15"/>
      <c r="Q44" s="15"/>
      <c r="R44" s="15"/>
      <c r="S44" s="15"/>
      <c r="T44" s="15"/>
      <c r="U44" s="15"/>
      <c r="V44" s="15"/>
      <c r="W44" s="15"/>
    </row>
    <row r="45" spans="1:23" ht="15.75" x14ac:dyDescent="0.25">
      <c r="A45" s="15"/>
      <c r="B45" s="15"/>
      <c r="C45" s="15"/>
      <c r="D45" s="15"/>
      <c r="E45" s="15"/>
      <c r="F45" s="20"/>
      <c r="G45" s="15"/>
      <c r="H45" s="15"/>
      <c r="I45" s="15"/>
      <c r="J45" s="15"/>
      <c r="K45" s="15"/>
      <c r="L45" s="15"/>
      <c r="M45" s="15"/>
      <c r="N45" s="15"/>
      <c r="O45" s="15"/>
      <c r="P45" s="15"/>
      <c r="Q45" s="15"/>
      <c r="R45" s="15"/>
      <c r="S45" s="15"/>
      <c r="T45" s="15"/>
      <c r="U45" s="15"/>
      <c r="V45" s="15"/>
      <c r="W45" s="15"/>
    </row>
    <row r="46" spans="1:23" ht="15.75" x14ac:dyDescent="0.25">
      <c r="A46" s="15"/>
      <c r="B46" s="15"/>
      <c r="C46" s="15"/>
      <c r="D46" s="15"/>
      <c r="E46" s="15"/>
      <c r="F46" s="20"/>
      <c r="G46" s="15"/>
      <c r="H46" s="15"/>
      <c r="I46" s="15"/>
      <c r="J46" s="15"/>
      <c r="K46" s="15"/>
      <c r="L46" s="15"/>
      <c r="M46" s="15"/>
      <c r="N46" s="15"/>
      <c r="O46" s="15"/>
      <c r="P46" s="15"/>
      <c r="Q46" s="15"/>
      <c r="R46" s="15"/>
      <c r="S46" s="15"/>
      <c r="T46" s="15"/>
      <c r="U46" s="15"/>
      <c r="V46" s="15"/>
      <c r="W46" s="15"/>
    </row>
    <row r="47" spans="1:23" ht="15.75" x14ac:dyDescent="0.25">
      <c r="A47" s="15"/>
      <c r="B47" s="15"/>
      <c r="C47" s="15"/>
      <c r="D47" s="15"/>
      <c r="E47" s="15"/>
      <c r="F47" s="20"/>
      <c r="G47" s="15"/>
      <c r="H47" s="15"/>
      <c r="I47" s="15"/>
      <c r="J47" s="15"/>
      <c r="K47" s="15"/>
      <c r="L47" s="15"/>
      <c r="M47" s="15"/>
      <c r="N47" s="15"/>
      <c r="O47" s="15"/>
      <c r="P47" s="15"/>
      <c r="Q47" s="15"/>
      <c r="R47" s="15"/>
      <c r="S47" s="15"/>
      <c r="T47" s="15"/>
      <c r="U47" s="15"/>
      <c r="V47" s="15"/>
      <c r="W47" s="15"/>
    </row>
    <row r="48" spans="1:23" ht="15.75" x14ac:dyDescent="0.25">
      <c r="A48" s="15"/>
      <c r="B48" s="15"/>
      <c r="C48" s="15"/>
      <c r="D48" s="15"/>
      <c r="E48" s="15"/>
      <c r="F48" s="20"/>
      <c r="G48" s="15"/>
      <c r="H48" s="15"/>
      <c r="I48" s="15"/>
      <c r="J48" s="15"/>
      <c r="K48" s="15"/>
      <c r="L48" s="15"/>
      <c r="M48" s="15"/>
      <c r="N48" s="15"/>
      <c r="O48" s="15"/>
      <c r="P48" s="15"/>
      <c r="Q48" s="15"/>
      <c r="R48" s="15"/>
      <c r="S48" s="15"/>
      <c r="T48" s="15"/>
      <c r="U48" s="15"/>
      <c r="V48" s="15"/>
      <c r="W48" s="15"/>
    </row>
    <row r="49" spans="1:23" ht="15.75" x14ac:dyDescent="0.25">
      <c r="A49" s="15"/>
      <c r="B49" s="15"/>
      <c r="C49" s="15"/>
      <c r="D49" s="15"/>
      <c r="E49" s="15"/>
      <c r="F49" s="20"/>
      <c r="G49" s="15"/>
      <c r="H49" s="15"/>
      <c r="I49" s="15"/>
      <c r="J49" s="15"/>
      <c r="K49" s="15"/>
      <c r="L49" s="15"/>
      <c r="M49" s="15"/>
      <c r="N49" s="15"/>
      <c r="O49" s="15"/>
      <c r="P49" s="15"/>
      <c r="Q49" s="15"/>
      <c r="R49" s="15"/>
      <c r="S49" s="15"/>
      <c r="T49" s="15"/>
      <c r="U49" s="15"/>
      <c r="V49" s="15"/>
      <c r="W49" s="15"/>
    </row>
    <row r="50" spans="1:23" ht="15.75" x14ac:dyDescent="0.25">
      <c r="A50" s="15"/>
      <c r="B50" s="15"/>
      <c r="C50" s="15"/>
      <c r="D50" s="15"/>
      <c r="E50" s="15"/>
      <c r="F50" s="20"/>
      <c r="G50" s="15"/>
      <c r="H50" s="15"/>
      <c r="I50" s="15"/>
      <c r="J50" s="15"/>
      <c r="K50" s="15"/>
      <c r="L50" s="15"/>
      <c r="M50" s="15"/>
      <c r="N50" s="15"/>
      <c r="O50" s="15"/>
      <c r="P50" s="15"/>
      <c r="Q50" s="15"/>
      <c r="R50" s="15"/>
      <c r="S50" s="15"/>
      <c r="T50" s="15"/>
      <c r="U50" s="15"/>
      <c r="V50" s="15"/>
      <c r="W50" s="15"/>
    </row>
    <row r="51" spans="1:23" ht="15.75" x14ac:dyDescent="0.25">
      <c r="A51" s="15"/>
      <c r="B51" s="15"/>
      <c r="C51" s="15"/>
      <c r="D51" s="15"/>
      <c r="E51" s="15"/>
      <c r="F51" s="20"/>
      <c r="G51" s="15"/>
      <c r="H51" s="15"/>
      <c r="I51" s="15"/>
      <c r="J51" s="15"/>
      <c r="K51" s="15"/>
      <c r="L51" s="15"/>
      <c r="M51" s="15"/>
      <c r="N51" s="15"/>
      <c r="O51" s="15"/>
      <c r="P51" s="15"/>
      <c r="Q51" s="15"/>
      <c r="R51" s="15"/>
      <c r="S51" s="15"/>
      <c r="T51" s="15"/>
      <c r="U51" s="15"/>
      <c r="V51" s="15"/>
      <c r="W51" s="15"/>
    </row>
    <row r="52" spans="1:23" ht="15.75" x14ac:dyDescent="0.25">
      <c r="A52" s="15"/>
      <c r="B52" s="15"/>
      <c r="C52" s="15"/>
      <c r="D52" s="15"/>
      <c r="E52" s="15"/>
      <c r="F52" s="20"/>
      <c r="G52" s="15"/>
      <c r="H52" s="15"/>
      <c r="I52" s="15"/>
      <c r="J52" s="15"/>
      <c r="K52" s="15"/>
      <c r="L52" s="15"/>
      <c r="M52" s="15"/>
      <c r="N52" s="15"/>
      <c r="O52" s="15"/>
      <c r="P52" s="15"/>
      <c r="Q52" s="15"/>
      <c r="R52" s="15"/>
      <c r="S52" s="15"/>
      <c r="T52" s="15"/>
      <c r="U52" s="15"/>
      <c r="V52" s="15"/>
      <c r="W52" s="15"/>
    </row>
    <row r="53" spans="1:23" ht="15.75" x14ac:dyDescent="0.25">
      <c r="A53" s="15"/>
      <c r="B53" s="15"/>
      <c r="C53" s="15"/>
      <c r="D53" s="15"/>
      <c r="E53" s="15"/>
      <c r="F53" s="20"/>
      <c r="G53" s="15"/>
      <c r="H53" s="15"/>
      <c r="I53" s="15"/>
      <c r="J53" s="15"/>
      <c r="K53" s="15"/>
      <c r="L53" s="15"/>
      <c r="M53" s="15"/>
      <c r="N53" s="15"/>
      <c r="O53" s="15"/>
      <c r="P53" s="15"/>
      <c r="Q53" s="15"/>
      <c r="R53" s="15"/>
      <c r="S53" s="15"/>
      <c r="T53" s="15"/>
      <c r="U53" s="15"/>
      <c r="V53" s="15"/>
      <c r="W53" s="15"/>
    </row>
    <row r="54" spans="1:23" ht="15.75" x14ac:dyDescent="0.25">
      <c r="A54" s="15"/>
      <c r="B54" s="15"/>
      <c r="C54" s="15"/>
      <c r="D54" s="15"/>
      <c r="E54" s="15"/>
      <c r="F54" s="20"/>
      <c r="G54" s="15"/>
      <c r="H54" s="15"/>
      <c r="I54" s="15"/>
      <c r="J54" s="15"/>
      <c r="K54" s="15"/>
      <c r="L54" s="15"/>
      <c r="M54" s="15"/>
      <c r="N54" s="15"/>
      <c r="O54" s="15"/>
      <c r="P54" s="15"/>
      <c r="Q54" s="15"/>
      <c r="R54" s="15"/>
      <c r="S54" s="15"/>
      <c r="T54" s="15"/>
      <c r="U54" s="15"/>
      <c r="V54" s="15"/>
      <c r="W54" s="15"/>
    </row>
    <row r="55" spans="1:23" ht="15.75" x14ac:dyDescent="0.25">
      <c r="A55" s="15"/>
      <c r="B55" s="15"/>
      <c r="C55" s="15"/>
      <c r="D55" s="15"/>
      <c r="E55" s="15"/>
      <c r="F55" s="20"/>
      <c r="G55" s="15"/>
      <c r="H55" s="15"/>
      <c r="I55" s="15"/>
      <c r="J55" s="15"/>
      <c r="K55" s="15"/>
      <c r="L55" s="15"/>
      <c r="M55" s="15"/>
      <c r="N55" s="15"/>
      <c r="O55" s="15"/>
      <c r="P55" s="15"/>
      <c r="Q55" s="15"/>
      <c r="R55" s="15"/>
      <c r="S55" s="15"/>
      <c r="T55" s="15"/>
      <c r="U55" s="15"/>
      <c r="V55" s="15"/>
      <c r="W55" s="15"/>
    </row>
    <row r="56" spans="1:23" ht="15.75" x14ac:dyDescent="0.25">
      <c r="A56" s="15"/>
      <c r="B56" s="15"/>
      <c r="C56" s="15"/>
      <c r="D56" s="15"/>
      <c r="E56" s="15"/>
      <c r="F56" s="20"/>
      <c r="G56" s="15"/>
      <c r="H56" s="15"/>
      <c r="I56" s="15"/>
      <c r="J56" s="15"/>
      <c r="K56" s="15"/>
      <c r="L56" s="15"/>
      <c r="M56" s="15"/>
      <c r="N56" s="15"/>
      <c r="O56" s="15"/>
      <c r="P56" s="15"/>
      <c r="Q56" s="15"/>
      <c r="R56" s="15"/>
      <c r="S56" s="15"/>
      <c r="T56" s="15"/>
      <c r="U56" s="15"/>
      <c r="V56" s="15"/>
      <c r="W56" s="15"/>
    </row>
    <row r="57" spans="1:23" ht="15.75" x14ac:dyDescent="0.25">
      <c r="A57" s="15"/>
      <c r="B57" s="15"/>
      <c r="C57" s="15"/>
      <c r="D57" s="15"/>
      <c r="E57" s="15"/>
      <c r="F57" s="20"/>
      <c r="G57" s="15"/>
      <c r="H57" s="15"/>
      <c r="I57" s="15"/>
      <c r="J57" s="15"/>
      <c r="K57" s="15"/>
      <c r="L57" s="15"/>
      <c r="M57" s="15"/>
      <c r="N57" s="15"/>
      <c r="O57" s="15"/>
      <c r="P57" s="15"/>
      <c r="Q57" s="15"/>
      <c r="R57" s="15"/>
      <c r="S57" s="15"/>
      <c r="T57" s="15"/>
      <c r="U57" s="15"/>
      <c r="V57" s="15"/>
      <c r="W57" s="15"/>
    </row>
    <row r="58" spans="1:23" ht="15.75" x14ac:dyDescent="0.25">
      <c r="A58" s="15"/>
      <c r="B58" s="15"/>
      <c r="C58" s="15"/>
      <c r="D58" s="15"/>
      <c r="E58" s="15"/>
      <c r="F58" s="20"/>
      <c r="G58" s="15"/>
      <c r="H58" s="15"/>
      <c r="I58" s="15"/>
      <c r="J58" s="15"/>
      <c r="K58" s="15"/>
      <c r="L58" s="15"/>
      <c r="M58" s="15"/>
      <c r="N58" s="15"/>
      <c r="O58" s="15"/>
      <c r="P58" s="15"/>
      <c r="Q58" s="15"/>
      <c r="R58" s="15"/>
      <c r="S58" s="15"/>
      <c r="T58" s="15"/>
      <c r="U58" s="15"/>
      <c r="V58" s="15"/>
      <c r="W58" s="15"/>
    </row>
    <row r="59" spans="1:23" ht="15.75" x14ac:dyDescent="0.25">
      <c r="A59" s="15"/>
      <c r="B59" s="15"/>
      <c r="C59" s="15"/>
      <c r="D59" s="15"/>
      <c r="E59" s="15"/>
      <c r="F59" s="20"/>
      <c r="G59" s="15"/>
      <c r="H59" s="15"/>
      <c r="I59" s="15"/>
      <c r="J59" s="15"/>
      <c r="K59" s="15"/>
      <c r="L59" s="15"/>
      <c r="M59" s="15"/>
      <c r="N59" s="15"/>
      <c r="O59" s="15"/>
      <c r="P59" s="15"/>
      <c r="Q59" s="15"/>
      <c r="R59" s="15"/>
      <c r="S59" s="15"/>
      <c r="T59" s="15"/>
      <c r="U59" s="15"/>
      <c r="V59" s="15"/>
      <c r="W59" s="15"/>
    </row>
    <row r="60" spans="1:23" ht="15.75" x14ac:dyDescent="0.25">
      <c r="A60" s="15"/>
      <c r="B60" s="15"/>
      <c r="C60" s="15"/>
      <c r="D60" s="15"/>
      <c r="E60" s="15"/>
      <c r="F60" s="20"/>
      <c r="G60" s="15"/>
      <c r="H60" s="15"/>
      <c r="I60" s="15"/>
      <c r="J60" s="15"/>
      <c r="K60" s="15"/>
      <c r="L60" s="15"/>
      <c r="M60" s="15"/>
      <c r="N60" s="15"/>
      <c r="O60" s="15"/>
      <c r="P60" s="15"/>
      <c r="Q60" s="15"/>
      <c r="R60" s="15"/>
      <c r="S60" s="15"/>
      <c r="T60" s="15"/>
      <c r="U60" s="15"/>
      <c r="V60" s="15"/>
      <c r="W60" s="15"/>
    </row>
    <row r="61" spans="1:23" ht="15.75" x14ac:dyDescent="0.25">
      <c r="A61" s="15"/>
      <c r="B61" s="15"/>
      <c r="C61" s="15"/>
      <c r="D61" s="15"/>
      <c r="E61" s="15"/>
      <c r="F61" s="20"/>
      <c r="G61" s="15"/>
      <c r="H61" s="15"/>
      <c r="I61" s="15"/>
      <c r="J61" s="15"/>
      <c r="K61" s="15"/>
      <c r="L61" s="15"/>
      <c r="M61" s="15"/>
      <c r="N61" s="15"/>
      <c r="O61" s="15"/>
      <c r="P61" s="15"/>
      <c r="Q61" s="15"/>
      <c r="R61" s="15"/>
      <c r="S61" s="15"/>
      <c r="T61" s="15"/>
      <c r="U61" s="15"/>
      <c r="V61" s="15"/>
      <c r="W61" s="15"/>
    </row>
    <row r="62" spans="1:23" ht="15.75" x14ac:dyDescent="0.25">
      <c r="A62" s="15"/>
      <c r="B62" s="15"/>
      <c r="C62" s="15"/>
      <c r="D62" s="15"/>
      <c r="E62" s="15"/>
      <c r="F62" s="20"/>
      <c r="G62" s="15"/>
      <c r="H62" s="15"/>
      <c r="I62" s="15"/>
      <c r="J62" s="15"/>
      <c r="K62" s="15"/>
      <c r="L62" s="15"/>
      <c r="M62" s="15"/>
      <c r="N62" s="15"/>
      <c r="O62" s="15"/>
      <c r="P62" s="15"/>
      <c r="Q62" s="15"/>
      <c r="R62" s="15"/>
      <c r="S62" s="15"/>
      <c r="T62" s="15"/>
      <c r="U62" s="15"/>
      <c r="V62" s="15"/>
      <c r="W62" s="15"/>
    </row>
    <row r="63" spans="1:23" ht="15.75" x14ac:dyDescent="0.25">
      <c r="A63" s="15"/>
      <c r="B63" s="15"/>
      <c r="C63" s="15"/>
      <c r="D63" s="15"/>
      <c r="E63" s="15"/>
      <c r="F63" s="20"/>
      <c r="G63" s="15"/>
      <c r="H63" s="15"/>
      <c r="I63" s="15"/>
      <c r="J63" s="15"/>
      <c r="K63" s="15"/>
      <c r="L63" s="15"/>
      <c r="M63" s="15"/>
      <c r="N63" s="15"/>
      <c r="O63" s="15"/>
      <c r="P63" s="15"/>
      <c r="Q63" s="15"/>
      <c r="R63" s="15"/>
      <c r="S63" s="15"/>
      <c r="T63" s="15"/>
      <c r="U63" s="15"/>
      <c r="V63" s="15"/>
      <c r="W63" s="15"/>
    </row>
    <row r="64" spans="1:23" ht="15.75" x14ac:dyDescent="0.25">
      <c r="A64" s="15"/>
      <c r="B64" s="15"/>
      <c r="C64" s="15"/>
      <c r="D64" s="15"/>
      <c r="E64" s="15"/>
      <c r="F64" s="20"/>
      <c r="G64" s="15"/>
      <c r="H64" s="15"/>
      <c r="I64" s="15"/>
      <c r="J64" s="15"/>
      <c r="K64" s="15"/>
      <c r="L64" s="15"/>
      <c r="M64" s="15"/>
      <c r="N64" s="15"/>
      <c r="O64" s="15"/>
      <c r="P64" s="15"/>
      <c r="Q64" s="15"/>
      <c r="R64" s="15"/>
      <c r="S64" s="15"/>
      <c r="T64" s="15"/>
      <c r="U64" s="15"/>
      <c r="V64" s="15"/>
      <c r="W64" s="15"/>
    </row>
    <row r="65" spans="1:23" ht="15.75" x14ac:dyDescent="0.25">
      <c r="A65" s="15"/>
      <c r="B65" s="15"/>
      <c r="C65" s="15"/>
      <c r="D65" s="15"/>
      <c r="E65" s="15"/>
      <c r="F65" s="20"/>
      <c r="G65" s="15"/>
      <c r="H65" s="15"/>
      <c r="I65" s="15"/>
      <c r="J65" s="15"/>
      <c r="K65" s="15"/>
      <c r="L65" s="15"/>
      <c r="M65" s="15"/>
      <c r="N65" s="15"/>
      <c r="O65" s="15"/>
      <c r="P65" s="15"/>
      <c r="Q65" s="15"/>
      <c r="R65" s="15"/>
      <c r="S65" s="15"/>
      <c r="T65" s="15"/>
      <c r="U65" s="15"/>
      <c r="V65" s="15"/>
      <c r="W65" s="15"/>
    </row>
    <row r="66" spans="1:23" ht="15.75" x14ac:dyDescent="0.25">
      <c r="A66" s="15"/>
      <c r="B66" s="15"/>
      <c r="C66" s="15"/>
      <c r="D66" s="15"/>
      <c r="E66" s="15"/>
      <c r="F66" s="20"/>
      <c r="G66" s="15"/>
      <c r="H66" s="15"/>
      <c r="I66" s="15"/>
      <c r="J66" s="15"/>
      <c r="K66" s="15"/>
      <c r="L66" s="15"/>
      <c r="M66" s="15"/>
      <c r="N66" s="15"/>
      <c r="O66" s="15"/>
      <c r="P66" s="15"/>
      <c r="Q66" s="15"/>
      <c r="R66" s="15"/>
      <c r="S66" s="15"/>
      <c r="T66" s="15"/>
      <c r="U66" s="15"/>
      <c r="V66" s="15"/>
      <c r="W66" s="15"/>
    </row>
    <row r="67" spans="1:23" ht="15.75" x14ac:dyDescent="0.25">
      <c r="A67" s="15"/>
      <c r="B67" s="15"/>
      <c r="C67" s="15"/>
      <c r="D67" s="15"/>
      <c r="E67" s="15"/>
      <c r="F67" s="20"/>
      <c r="G67" s="15"/>
      <c r="H67" s="15"/>
      <c r="I67" s="15"/>
      <c r="J67" s="15"/>
      <c r="K67" s="15"/>
      <c r="L67" s="15"/>
      <c r="M67" s="15"/>
      <c r="N67" s="15"/>
      <c r="O67" s="15"/>
      <c r="P67" s="15"/>
      <c r="Q67" s="15"/>
      <c r="R67" s="15"/>
      <c r="S67" s="15"/>
      <c r="T67" s="15"/>
      <c r="U67" s="15"/>
      <c r="V67" s="15"/>
      <c r="W67" s="15"/>
    </row>
    <row r="68" spans="1:23" ht="15.75" x14ac:dyDescent="0.25">
      <c r="A68" s="15"/>
      <c r="B68" s="15"/>
      <c r="C68" s="15"/>
      <c r="D68" s="15"/>
      <c r="E68" s="15"/>
      <c r="F68" s="20"/>
      <c r="G68" s="15"/>
      <c r="H68" s="15"/>
      <c r="I68" s="15"/>
      <c r="J68" s="15"/>
      <c r="K68" s="15"/>
      <c r="L68" s="15"/>
      <c r="M68" s="15"/>
      <c r="N68" s="15"/>
      <c r="O68" s="15"/>
      <c r="P68" s="15"/>
      <c r="Q68" s="15"/>
      <c r="R68" s="15"/>
      <c r="S68" s="15"/>
      <c r="T68" s="15"/>
      <c r="U68" s="15"/>
      <c r="V68" s="15"/>
      <c r="W68" s="15"/>
    </row>
    <row r="69" spans="1:23" ht="15.75" x14ac:dyDescent="0.25">
      <c r="A69" s="15"/>
      <c r="B69" s="15"/>
      <c r="C69" s="15"/>
      <c r="D69" s="15"/>
      <c r="E69" s="15"/>
      <c r="F69" s="20"/>
      <c r="G69" s="15"/>
      <c r="H69" s="15"/>
      <c r="I69" s="15"/>
      <c r="J69" s="15"/>
      <c r="K69" s="15"/>
      <c r="L69" s="15"/>
      <c r="M69" s="15"/>
      <c r="N69" s="15"/>
      <c r="O69" s="15"/>
      <c r="P69" s="15"/>
      <c r="Q69" s="15"/>
      <c r="R69" s="15"/>
      <c r="S69" s="15"/>
      <c r="T69" s="15"/>
      <c r="U69" s="15"/>
      <c r="V69" s="15"/>
      <c r="W69" s="15"/>
    </row>
  </sheetData>
  <pageMargins left="0.7" right="0.7" top="0.75" bottom="0.75" header="0.3" footer="0.3"/>
  <pageSetup orientation="portrait" horizontalDpi="0"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I13"/>
  <sheetViews>
    <sheetView zoomScaleNormal="100" workbookViewId="0">
      <selection activeCell="B11" sqref="B11"/>
    </sheetView>
  </sheetViews>
  <sheetFormatPr baseColWidth="10" defaultColWidth="11.42578125" defaultRowHeight="15" x14ac:dyDescent="0.25"/>
  <cols>
    <col min="1" max="1" width="22.85546875" customWidth="1"/>
    <col min="3" max="3" width="22.5703125" customWidth="1"/>
    <col min="4" max="4" width="21.28515625" customWidth="1"/>
    <col min="5" max="5" width="18.42578125" customWidth="1"/>
    <col min="6" max="6" width="21.140625" customWidth="1"/>
  </cols>
  <sheetData>
    <row r="1" spans="1:9" ht="15.75" x14ac:dyDescent="0.25">
      <c r="A1" s="284" t="s">
        <v>27</v>
      </c>
      <c r="B1" s="285"/>
      <c r="C1" s="285"/>
      <c r="D1" s="285"/>
      <c r="E1" s="285"/>
      <c r="F1" s="13"/>
      <c r="G1" s="13"/>
      <c r="H1" s="13"/>
      <c r="I1" s="13"/>
    </row>
    <row r="2" spans="1:9" ht="15.75" x14ac:dyDescent="0.25">
      <c r="A2" s="286" t="s">
        <v>28</v>
      </c>
      <c r="B2" s="287"/>
      <c r="C2" s="287"/>
      <c r="D2" s="74" t="s">
        <v>29</v>
      </c>
      <c r="E2" s="64">
        <f>E3*(1+E4)^E5</f>
        <v>7127.0727325321986</v>
      </c>
      <c r="F2" s="13"/>
      <c r="G2" s="13"/>
      <c r="H2" s="13"/>
      <c r="I2" s="13"/>
    </row>
    <row r="3" spans="1:9" ht="15.75" x14ac:dyDescent="0.25">
      <c r="A3" s="288" t="s">
        <v>30</v>
      </c>
      <c r="B3" s="287"/>
      <c r="C3" s="287"/>
      <c r="D3" s="74" t="s">
        <v>31</v>
      </c>
      <c r="E3" s="64">
        <f>'Tamaño del proyecto'!G16</f>
        <v>4425.3514306227198</v>
      </c>
      <c r="F3" s="13"/>
      <c r="G3" s="13"/>
      <c r="H3" s="13"/>
      <c r="I3" s="13"/>
    </row>
    <row r="4" spans="1:9" ht="15.75" x14ac:dyDescent="0.25">
      <c r="A4" s="288" t="s">
        <v>32</v>
      </c>
      <c r="B4" s="287"/>
      <c r="C4" s="287"/>
      <c r="D4" s="74" t="s">
        <v>33</v>
      </c>
      <c r="E4" s="76">
        <v>0.1</v>
      </c>
      <c r="F4" s="13"/>
      <c r="G4" s="13"/>
      <c r="H4" s="13"/>
      <c r="I4" s="13"/>
    </row>
    <row r="5" spans="1:9" ht="15.75" x14ac:dyDescent="0.25">
      <c r="A5" s="288" t="s">
        <v>34</v>
      </c>
      <c r="B5" s="287"/>
      <c r="C5" s="287"/>
      <c r="D5" s="74" t="s">
        <v>35</v>
      </c>
      <c r="E5" s="65">
        <v>5</v>
      </c>
      <c r="F5" s="13"/>
      <c r="G5" s="13"/>
      <c r="H5" s="13"/>
      <c r="I5" s="13"/>
    </row>
    <row r="6" spans="1:9" ht="15.75" x14ac:dyDescent="0.25">
      <c r="A6" s="13"/>
      <c r="B6" s="13"/>
      <c r="C6" s="13"/>
      <c r="D6" s="13"/>
      <c r="E6" s="13"/>
      <c r="F6" s="13"/>
      <c r="G6" s="13"/>
      <c r="H6" s="13"/>
      <c r="I6" s="13"/>
    </row>
    <row r="7" spans="1:9" ht="15.75" x14ac:dyDescent="0.25">
      <c r="A7" s="284" t="s">
        <v>36</v>
      </c>
      <c r="B7" s="285"/>
      <c r="C7" s="285"/>
      <c r="D7" s="285"/>
      <c r="E7" s="285"/>
      <c r="F7" s="285"/>
      <c r="G7" s="13"/>
      <c r="H7" s="13"/>
      <c r="I7" s="13"/>
    </row>
    <row r="8" spans="1:9" ht="15.75" x14ac:dyDescent="0.25">
      <c r="A8" s="77"/>
      <c r="B8" s="73" t="s">
        <v>37</v>
      </c>
      <c r="C8" s="73" t="s">
        <v>38</v>
      </c>
      <c r="D8" s="73" t="s">
        <v>39</v>
      </c>
      <c r="E8" s="73" t="s">
        <v>40</v>
      </c>
      <c r="F8" s="73" t="s">
        <v>41</v>
      </c>
      <c r="G8" s="13"/>
      <c r="H8" s="13"/>
      <c r="I8" s="13"/>
    </row>
    <row r="9" spans="1:9" ht="20.25" customHeight="1" x14ac:dyDescent="0.25">
      <c r="A9" s="78" t="s">
        <v>42</v>
      </c>
      <c r="B9" s="80">
        <f t="shared" ref="B9:F9" si="0">$E$2</f>
        <v>7127.0727325321986</v>
      </c>
      <c r="C9" s="80">
        <f t="shared" si="0"/>
        <v>7127.0727325321986</v>
      </c>
      <c r="D9" s="80">
        <f t="shared" si="0"/>
        <v>7127.0727325321986</v>
      </c>
      <c r="E9" s="80">
        <f t="shared" si="0"/>
        <v>7127.0727325321986</v>
      </c>
      <c r="F9" s="80">
        <f t="shared" si="0"/>
        <v>7127.0727325321986</v>
      </c>
      <c r="G9" s="13"/>
      <c r="H9" s="13"/>
      <c r="I9" s="13"/>
    </row>
    <row r="10" spans="1:9" ht="18" customHeight="1" x14ac:dyDescent="0.25">
      <c r="A10" s="79" t="s">
        <v>43</v>
      </c>
      <c r="B10" s="81">
        <f>B9*B12</f>
        <v>5701.6581860257593</v>
      </c>
      <c r="C10" s="81">
        <f t="shared" ref="C10:F10" si="1">C9*C12</f>
        <v>6058.0118226523691</v>
      </c>
      <c r="D10" s="81">
        <f t="shared" si="1"/>
        <v>6414.365459278979</v>
      </c>
      <c r="E10" s="81">
        <f t="shared" si="1"/>
        <v>6770.7190959055888</v>
      </c>
      <c r="F10" s="81">
        <f t="shared" si="1"/>
        <v>7127.0727325321986</v>
      </c>
      <c r="G10" s="13" t="s">
        <v>44</v>
      </c>
      <c r="H10" s="13"/>
      <c r="I10" s="13"/>
    </row>
    <row r="11" spans="1:9" ht="16.5" customHeight="1" x14ac:dyDescent="0.25">
      <c r="A11" s="78" t="s">
        <v>45</v>
      </c>
      <c r="B11" s="80">
        <f>(B10*B12)</f>
        <v>4561.326548820608</v>
      </c>
      <c r="C11" s="80">
        <f t="shared" ref="C11:F11" si="2">(C10*C12)</f>
        <v>5149.3100492545136</v>
      </c>
      <c r="D11" s="80">
        <f t="shared" si="2"/>
        <v>5772.9289133510811</v>
      </c>
      <c r="E11" s="80">
        <f t="shared" si="2"/>
        <v>6432.1831411103094</v>
      </c>
      <c r="F11" s="80">
        <f t="shared" si="2"/>
        <v>7127.0727325321986</v>
      </c>
      <c r="G11" s="13" t="s">
        <v>46</v>
      </c>
      <c r="H11" s="13"/>
      <c r="I11" s="13"/>
    </row>
    <row r="12" spans="1:9" ht="17.25" customHeight="1" x14ac:dyDescent="0.25">
      <c r="A12" s="79" t="s">
        <v>47</v>
      </c>
      <c r="B12" s="82">
        <v>0.8</v>
      </c>
      <c r="C12" s="82">
        <v>0.85</v>
      </c>
      <c r="D12" s="82">
        <v>0.9</v>
      </c>
      <c r="E12" s="82">
        <v>0.95</v>
      </c>
      <c r="F12" s="82">
        <v>1</v>
      </c>
      <c r="G12" s="13" t="s">
        <v>48</v>
      </c>
      <c r="H12" s="13"/>
      <c r="I12" s="13"/>
    </row>
    <row r="13" spans="1:9" ht="15.75" x14ac:dyDescent="0.25">
      <c r="A13" s="13"/>
      <c r="B13" s="13"/>
      <c r="C13" s="13"/>
      <c r="D13" s="13"/>
      <c r="E13" s="13"/>
      <c r="F13" s="13"/>
      <c r="G13" s="13"/>
      <c r="H13" s="13"/>
      <c r="I13" s="13"/>
    </row>
  </sheetData>
  <mergeCells count="6">
    <mergeCell ref="A7:F7"/>
    <mergeCell ref="A1:E1"/>
    <mergeCell ref="A2:C2"/>
    <mergeCell ref="A3:C3"/>
    <mergeCell ref="A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59"/>
  <sheetViews>
    <sheetView showGridLines="0" zoomScale="89" zoomScaleNormal="89" workbookViewId="0">
      <selection activeCell="I29" sqref="I29"/>
    </sheetView>
  </sheetViews>
  <sheetFormatPr baseColWidth="10" defaultColWidth="9.140625" defaultRowHeight="15" x14ac:dyDescent="0.25"/>
  <cols>
    <col min="1" max="1" width="15.140625" style="1" customWidth="1"/>
    <col min="2" max="2" width="32" style="1" bestFit="1" customWidth="1"/>
    <col min="3" max="3" width="12.5703125" style="1" bestFit="1" customWidth="1"/>
    <col min="4" max="4" width="11.7109375" style="1" bestFit="1" customWidth="1"/>
    <col min="5" max="5" width="14.7109375" style="1" bestFit="1" customWidth="1"/>
    <col min="6" max="6" width="18.5703125" style="1" bestFit="1" customWidth="1"/>
    <col min="7" max="7" width="4.140625" style="1" customWidth="1"/>
    <col min="8" max="8" width="9.140625" style="1"/>
    <col min="9" max="9" width="21.7109375" style="1" bestFit="1" customWidth="1"/>
    <col min="10" max="10" width="19.7109375" style="1" bestFit="1" customWidth="1"/>
    <col min="11" max="11" width="13.5703125" style="1" customWidth="1"/>
    <col min="12" max="12" width="21.7109375" style="1" bestFit="1" customWidth="1"/>
    <col min="13" max="13" width="13.5703125" style="1" bestFit="1" customWidth="1"/>
    <col min="14" max="14" width="9.140625" style="1"/>
    <col min="15" max="15" width="22" style="1" bestFit="1" customWidth="1"/>
    <col min="16" max="16" width="11.85546875" style="1" bestFit="1" customWidth="1"/>
    <col min="17" max="16384" width="9.140625" style="1"/>
  </cols>
  <sheetData>
    <row r="1" spans="1:16" ht="15.75" x14ac:dyDescent="0.25">
      <c r="A1" s="15"/>
      <c r="B1" s="15"/>
      <c r="C1" s="15"/>
      <c r="D1" s="15"/>
      <c r="E1" s="15"/>
      <c r="F1" s="15"/>
      <c r="G1" s="15"/>
      <c r="H1" s="16" t="s">
        <v>49</v>
      </c>
      <c r="I1" s="258">
        <f>+'Estimación de la demanda'!B11</f>
        <v>4561.326548820608</v>
      </c>
      <c r="J1" s="260">
        <f>+'Estimación de la demanda'!B11</f>
        <v>4561.326548820608</v>
      </c>
      <c r="K1" s="260">
        <f>+'Estimación de la demanda'!C11</f>
        <v>5149.3100492545136</v>
      </c>
      <c r="L1" s="260">
        <f>+'Estimación de la demanda'!D11</f>
        <v>5772.9289133510811</v>
      </c>
      <c r="M1" s="260">
        <f>+'Estimación de la demanda'!E11</f>
        <v>6432.1831411103094</v>
      </c>
      <c r="N1" s="260">
        <f>+'Estimación de la demanda'!F11</f>
        <v>7127.0727325321986</v>
      </c>
    </row>
    <row r="2" spans="1:16" ht="15.75" x14ac:dyDescent="0.25">
      <c r="A2" s="15"/>
      <c r="B2" s="89" t="s">
        <v>50</v>
      </c>
      <c r="C2" s="15"/>
      <c r="D2" s="15"/>
      <c r="E2" s="15"/>
      <c r="F2" s="15"/>
      <c r="G2" s="15"/>
      <c r="H2" s="16" t="s">
        <v>51</v>
      </c>
      <c r="I2" s="258">
        <f>I1/12</f>
        <v>380.11054573505066</v>
      </c>
      <c r="J2" s="15"/>
      <c r="K2" s="15"/>
      <c r="L2" s="15"/>
      <c r="M2" s="15"/>
      <c r="N2" s="15"/>
    </row>
    <row r="3" spans="1:16" ht="15.75" x14ac:dyDescent="0.25">
      <c r="A3" s="15"/>
      <c r="B3" s="89" t="s">
        <v>52</v>
      </c>
      <c r="C3" s="15"/>
      <c r="D3" s="15"/>
      <c r="E3" s="15"/>
      <c r="F3" s="15"/>
      <c r="G3" s="15"/>
      <c r="H3" s="15"/>
      <c r="I3" s="56"/>
      <c r="J3" s="15"/>
      <c r="K3" s="15"/>
      <c r="L3" s="15"/>
      <c r="M3" s="15"/>
      <c r="N3" s="15"/>
    </row>
    <row r="4" spans="1:16" ht="15.75" x14ac:dyDescent="0.25">
      <c r="A4" s="15"/>
      <c r="B4" s="92"/>
      <c r="C4" s="15"/>
      <c r="D4" s="15"/>
      <c r="E4" s="15"/>
      <c r="F4" s="15"/>
      <c r="G4" s="15"/>
      <c r="H4" s="15"/>
      <c r="I4" s="15"/>
      <c r="J4" s="15"/>
      <c r="K4" s="15"/>
      <c r="L4" s="85" t="s">
        <v>53</v>
      </c>
      <c r="M4" s="83" t="s">
        <v>54</v>
      </c>
      <c r="N4" s="15"/>
    </row>
    <row r="5" spans="1:16" ht="15.75" x14ac:dyDescent="0.25">
      <c r="A5" s="15"/>
      <c r="B5" s="89" t="s">
        <v>55</v>
      </c>
      <c r="C5" s="18"/>
      <c r="D5" s="15"/>
      <c r="E5" s="15"/>
      <c r="F5" s="15"/>
      <c r="G5" s="15"/>
      <c r="H5" s="15"/>
      <c r="I5" s="15"/>
      <c r="J5" s="15"/>
      <c r="K5" s="15"/>
      <c r="L5" s="85" t="s">
        <v>56</v>
      </c>
      <c r="M5" s="83" t="s">
        <v>57</v>
      </c>
      <c r="N5" s="15"/>
    </row>
    <row r="6" spans="1:16" ht="15.75" x14ac:dyDescent="0.25">
      <c r="A6" s="15"/>
      <c r="B6" s="91"/>
      <c r="C6" s="90"/>
      <c r="D6" s="15"/>
      <c r="E6" s="15"/>
      <c r="F6" s="15"/>
      <c r="G6" s="15"/>
      <c r="H6" s="15"/>
      <c r="I6" s="15"/>
      <c r="J6" s="15"/>
      <c r="K6" s="15"/>
      <c r="L6" s="85" t="s">
        <v>58</v>
      </c>
      <c r="M6" s="83" t="s">
        <v>59</v>
      </c>
      <c r="N6" s="15"/>
    </row>
    <row r="7" spans="1:16" s="4" customFormat="1" ht="15.75" x14ac:dyDescent="0.25">
      <c r="A7" s="93" t="s">
        <v>60</v>
      </c>
      <c r="B7" s="93" t="s">
        <v>61</v>
      </c>
      <c r="C7" s="94">
        <f>I2*0.7</f>
        <v>266.07738201453543</v>
      </c>
      <c r="D7" s="107"/>
      <c r="E7" s="107"/>
      <c r="F7" s="107"/>
      <c r="G7" s="19"/>
      <c r="H7" s="19"/>
      <c r="I7" s="19"/>
      <c r="J7" s="19"/>
      <c r="K7" s="19"/>
      <c r="L7" s="19"/>
      <c r="M7" s="19"/>
      <c r="N7" s="19"/>
    </row>
    <row r="8" spans="1:16" ht="15.75" x14ac:dyDescent="0.25">
      <c r="A8" s="96"/>
      <c r="B8" s="97" t="s">
        <v>62</v>
      </c>
      <c r="C8" s="98" t="s">
        <v>63</v>
      </c>
      <c r="D8" s="97" t="s">
        <v>64</v>
      </c>
      <c r="E8" s="97" t="s">
        <v>65</v>
      </c>
      <c r="F8" s="97" t="s">
        <v>66</v>
      </c>
      <c r="G8" s="15"/>
      <c r="H8" s="15"/>
      <c r="I8" s="93" t="s">
        <v>67</v>
      </c>
      <c r="J8" s="93" t="s">
        <v>68</v>
      </c>
      <c r="K8" s="93" t="s">
        <v>69</v>
      </c>
      <c r="L8" s="93" t="s">
        <v>70</v>
      </c>
      <c r="M8" s="95" t="s">
        <v>71</v>
      </c>
      <c r="N8" s="15"/>
    </row>
    <row r="9" spans="1:16" ht="15.75" x14ac:dyDescent="0.25">
      <c r="A9" s="83" t="s">
        <v>72</v>
      </c>
      <c r="B9" s="101" t="s">
        <v>73</v>
      </c>
      <c r="C9" s="102">
        <v>0.5</v>
      </c>
      <c r="D9" s="103">
        <f>($C$7*Tabla4MesCerveza[[#This Row],[Ocupación]])</f>
        <v>133.03869100726772</v>
      </c>
      <c r="E9" s="104">
        <f t="shared" ref="E9:E20" si="0">$K$9</f>
        <v>107810</v>
      </c>
      <c r="F9" s="104">
        <f>Tabla4MesCerveza[[#This Row],[Unidades]]*Tabla4MesCerveza[[#This Row],[Precio]]</f>
        <v>14342901.277493533</v>
      </c>
      <c r="G9" s="15"/>
      <c r="H9" s="15"/>
      <c r="I9" s="83" t="s">
        <v>74</v>
      </c>
      <c r="J9" s="83" t="s">
        <v>75</v>
      </c>
      <c r="K9" s="88">
        <f>J19</f>
        <v>107810</v>
      </c>
      <c r="L9" s="110">
        <v>0.7</v>
      </c>
      <c r="M9" s="111">
        <f>I2*L9</f>
        <v>266.07738201453543</v>
      </c>
      <c r="N9" s="15"/>
    </row>
    <row r="10" spans="1:16" ht="15.75" x14ac:dyDescent="0.25">
      <c r="A10" s="83" t="s">
        <v>76</v>
      </c>
      <c r="B10" s="101" t="s">
        <v>77</v>
      </c>
      <c r="C10" s="102">
        <v>0.85580000000000001</v>
      </c>
      <c r="D10" s="103">
        <f>($C$7*Tabla4MesCerveza[[#This Row],[Ocupación]])</f>
        <v>227.70902352803941</v>
      </c>
      <c r="E10" s="104">
        <f t="shared" si="0"/>
        <v>107810</v>
      </c>
      <c r="F10" s="104">
        <f>Tabla4MesCerveza[[#This Row],[Unidades]]*Tabla4MesCerveza[[#This Row],[Precio]]</f>
        <v>24549309.826557931</v>
      </c>
      <c r="G10" s="15"/>
      <c r="H10" s="15"/>
      <c r="I10" s="83" t="s">
        <v>78</v>
      </c>
      <c r="J10" s="83" t="s">
        <v>79</v>
      </c>
      <c r="K10" s="88">
        <f>M19</f>
        <v>51810</v>
      </c>
      <c r="L10" s="110">
        <v>0.1</v>
      </c>
      <c r="M10" s="111">
        <f>I2*L10</f>
        <v>38.011054573505071</v>
      </c>
      <c r="N10" s="15"/>
    </row>
    <row r="11" spans="1:16" ht="15.75" x14ac:dyDescent="0.25">
      <c r="A11" s="83" t="s">
        <v>76</v>
      </c>
      <c r="B11" s="101" t="s">
        <v>80</v>
      </c>
      <c r="C11" s="102">
        <v>0.90780000000000005</v>
      </c>
      <c r="D11" s="103">
        <f>($C$7*Tabla4MesCerveza[[#This Row],[Ocupación]])</f>
        <v>241.54504739279528</v>
      </c>
      <c r="E11" s="104">
        <f t="shared" si="0"/>
        <v>107810</v>
      </c>
      <c r="F11" s="104">
        <f>Tabla4MesCerveza[[#This Row],[Unidades]]*Tabla4MesCerveza[[#This Row],[Precio]]</f>
        <v>26040971.559417259</v>
      </c>
      <c r="G11" s="15"/>
      <c r="H11" s="15"/>
      <c r="I11" s="83" t="s">
        <v>81</v>
      </c>
      <c r="J11" s="83" t="s">
        <v>82</v>
      </c>
      <c r="K11" s="88">
        <f>P19</f>
        <v>10107.5</v>
      </c>
      <c r="L11" s="110">
        <v>0.2</v>
      </c>
      <c r="M11" s="111">
        <f>I2*L11</f>
        <v>76.022109147010141</v>
      </c>
      <c r="N11" s="15"/>
    </row>
    <row r="12" spans="1:16" ht="15.75" x14ac:dyDescent="0.25">
      <c r="A12" s="83" t="s">
        <v>76</v>
      </c>
      <c r="B12" s="101" t="s">
        <v>83</v>
      </c>
      <c r="C12" s="102">
        <v>0.88380000000000003</v>
      </c>
      <c r="D12" s="103">
        <f>($C$7*Tabla4MesCerveza[[#This Row],[Ocupación]])</f>
        <v>235.15919022444643</v>
      </c>
      <c r="E12" s="104">
        <f t="shared" si="0"/>
        <v>107810</v>
      </c>
      <c r="F12" s="104">
        <f>Tabla4MesCerveza[[#This Row],[Unidades]]*Tabla4MesCerveza[[#This Row],[Precio]]</f>
        <v>25352512.298097569</v>
      </c>
      <c r="G12" s="15"/>
      <c r="H12" s="15"/>
      <c r="I12" s="15"/>
      <c r="J12" s="15"/>
      <c r="K12" s="15"/>
      <c r="L12" s="15"/>
      <c r="M12" s="15"/>
      <c r="N12" s="15"/>
    </row>
    <row r="13" spans="1:16" ht="15.75" x14ac:dyDescent="0.25">
      <c r="A13" s="83" t="s">
        <v>84</v>
      </c>
      <c r="B13" s="101" t="s">
        <v>85</v>
      </c>
      <c r="C13" s="102">
        <v>0.70779999999999998</v>
      </c>
      <c r="D13" s="103">
        <f>($C$7*Tabla4MesCerveza[[#This Row],[Ocupación]])</f>
        <v>188.32957098988817</v>
      </c>
      <c r="E13" s="104">
        <f t="shared" si="0"/>
        <v>107810</v>
      </c>
      <c r="F13" s="104">
        <f>Tabla4MesCerveza[[#This Row],[Unidades]]*Tabla4MesCerveza[[#This Row],[Precio]]</f>
        <v>20303811.048419844</v>
      </c>
      <c r="G13" s="15"/>
      <c r="H13" s="15"/>
      <c r="I13" s="290" t="s">
        <v>75</v>
      </c>
      <c r="J13" s="290"/>
      <c r="K13" s="15"/>
      <c r="L13" s="291" t="s">
        <v>79</v>
      </c>
      <c r="M13" s="292"/>
      <c r="N13" s="15"/>
      <c r="O13" s="291" t="s">
        <v>82</v>
      </c>
      <c r="P13" s="292"/>
    </row>
    <row r="14" spans="1:16" ht="15.75" x14ac:dyDescent="0.25">
      <c r="A14" s="83" t="s">
        <v>84</v>
      </c>
      <c r="B14" s="101" t="s">
        <v>86</v>
      </c>
      <c r="C14" s="102">
        <v>0.7258</v>
      </c>
      <c r="D14" s="103">
        <f>($C$7*Tabla4MesCerveza[[#This Row],[Ocupación]])</f>
        <v>193.11896386614981</v>
      </c>
      <c r="E14" s="104">
        <f t="shared" si="0"/>
        <v>107810</v>
      </c>
      <c r="F14" s="104">
        <f>Tabla4MesCerveza[[#This Row],[Unidades]]*Tabla4MesCerveza[[#This Row],[Precio]]</f>
        <v>20820155.49440961</v>
      </c>
      <c r="G14" s="15"/>
      <c r="H14" s="15"/>
      <c r="I14" s="16" t="s">
        <v>597</v>
      </c>
      <c r="J14" s="16" t="s">
        <v>595</v>
      </c>
      <c r="K14" s="15"/>
      <c r="L14" s="16" t="s">
        <v>334</v>
      </c>
      <c r="M14" s="16" t="s">
        <v>595</v>
      </c>
      <c r="N14" s="15"/>
      <c r="O14" s="16" t="s">
        <v>334</v>
      </c>
      <c r="P14" s="16" t="s">
        <v>595</v>
      </c>
    </row>
    <row r="15" spans="1:16" ht="15.75" x14ac:dyDescent="0.25">
      <c r="A15" s="83" t="s">
        <v>84</v>
      </c>
      <c r="B15" s="101" t="s">
        <v>87</v>
      </c>
      <c r="C15" s="102">
        <v>0.71379999999999999</v>
      </c>
      <c r="D15" s="103">
        <f>($C$7*Tabla4MesCerveza[[#This Row],[Ocupación]])</f>
        <v>189.9260352819754</v>
      </c>
      <c r="E15" s="104">
        <f t="shared" si="0"/>
        <v>107810</v>
      </c>
      <c r="F15" s="104">
        <f>Tabla4MesCerveza[[#This Row],[Unidades]]*Tabla4MesCerveza[[#This Row],[Precio]]</f>
        <v>20475925.863749769</v>
      </c>
      <c r="G15" s="15"/>
      <c r="H15" s="15"/>
      <c r="I15" s="16" t="s">
        <v>592</v>
      </c>
      <c r="J15" s="21">
        <v>109900</v>
      </c>
      <c r="K15" s="15"/>
      <c r="L15" s="16" t="s">
        <v>592</v>
      </c>
      <c r="M15" s="21">
        <v>55800</v>
      </c>
      <c r="N15" s="15"/>
      <c r="O15" s="16" t="s">
        <v>592</v>
      </c>
      <c r="P15" s="21">
        <v>10150</v>
      </c>
    </row>
    <row r="16" spans="1:16" ht="15.75" x14ac:dyDescent="0.25">
      <c r="A16" s="83" t="s">
        <v>84</v>
      </c>
      <c r="B16" s="101" t="s">
        <v>88</v>
      </c>
      <c r="C16" s="102">
        <v>0.74139999999999995</v>
      </c>
      <c r="D16" s="103">
        <f>($C$7*Tabla4MesCerveza[[#This Row],[Ocupación]])</f>
        <v>197.26977102557655</v>
      </c>
      <c r="E16" s="104">
        <f t="shared" si="0"/>
        <v>107810</v>
      </c>
      <c r="F16" s="104">
        <f>Tabla4MesCerveza[[#This Row],[Unidades]]*Tabla4MesCerveza[[#This Row],[Precio]]</f>
        <v>21267654.014267407</v>
      </c>
      <c r="G16" s="15"/>
      <c r="H16" s="15"/>
      <c r="I16" s="16" t="s">
        <v>593</v>
      </c>
      <c r="J16" s="21">
        <v>99000</v>
      </c>
      <c r="K16" s="15"/>
      <c r="L16" s="16" t="s">
        <v>593</v>
      </c>
      <c r="M16" s="21">
        <v>51000</v>
      </c>
      <c r="N16" s="15"/>
      <c r="O16" s="16" t="s">
        <v>593</v>
      </c>
      <c r="P16" s="21">
        <v>10000</v>
      </c>
    </row>
    <row r="17" spans="1:16" ht="15.75" x14ac:dyDescent="0.25">
      <c r="A17" s="83" t="s">
        <v>76</v>
      </c>
      <c r="B17" s="101" t="s">
        <v>89</v>
      </c>
      <c r="C17" s="102">
        <v>0.95979999999999999</v>
      </c>
      <c r="D17" s="103">
        <f>($C$7*Tabla4MesCerveza[[#This Row],[Ocupación]])</f>
        <v>255.3810712575511</v>
      </c>
      <c r="E17" s="104">
        <f t="shared" si="0"/>
        <v>107810</v>
      </c>
      <c r="F17" s="104">
        <f>Tabla4MesCerveza[[#This Row],[Unidades]]*Tabla4MesCerveza[[#This Row],[Precio]]</f>
        <v>27532633.292276584</v>
      </c>
      <c r="G17" s="15"/>
      <c r="H17" s="15"/>
      <c r="I17" s="16" t="s">
        <v>594</v>
      </c>
      <c r="J17" s="21">
        <v>89900</v>
      </c>
      <c r="K17" s="15"/>
      <c r="L17" s="16" t="s">
        <v>594</v>
      </c>
      <c r="M17" s="21">
        <v>40440</v>
      </c>
      <c r="N17" s="15"/>
      <c r="O17" s="16" t="s">
        <v>594</v>
      </c>
      <c r="P17" s="21">
        <v>9999</v>
      </c>
    </row>
    <row r="18" spans="1:16" ht="15.75" x14ac:dyDescent="0.25">
      <c r="A18" s="83" t="s">
        <v>76</v>
      </c>
      <c r="B18" s="101" t="s">
        <v>90</v>
      </c>
      <c r="C18" s="102">
        <v>0.94820000000000004</v>
      </c>
      <c r="D18" s="103">
        <f>($C$7*Tabla4MesCerveza[[#This Row],[Ocupación]])</f>
        <v>252.29457362618251</v>
      </c>
      <c r="E18" s="104">
        <f t="shared" si="0"/>
        <v>107810</v>
      </c>
      <c r="F18" s="104">
        <f>Tabla4MesCerveza[[#This Row],[Unidades]]*Tabla4MesCerveza[[#This Row],[Precio]]</f>
        <v>27199877.982638735</v>
      </c>
      <c r="G18" s="15"/>
      <c r="H18" s="15"/>
      <c r="I18" s="283" t="s">
        <v>596</v>
      </c>
      <c r="J18" s="21">
        <v>132440</v>
      </c>
      <c r="K18" s="15"/>
      <c r="L18" s="283" t="s">
        <v>596</v>
      </c>
      <c r="M18" s="21">
        <v>60000</v>
      </c>
      <c r="N18" s="15"/>
      <c r="O18" s="283" t="s">
        <v>596</v>
      </c>
      <c r="P18" s="21">
        <v>10281</v>
      </c>
    </row>
    <row r="19" spans="1:16" ht="15.75" x14ac:dyDescent="0.25">
      <c r="A19" s="83" t="s">
        <v>84</v>
      </c>
      <c r="B19" s="101" t="s">
        <v>91</v>
      </c>
      <c r="C19" s="102">
        <v>0.73780000000000001</v>
      </c>
      <c r="D19" s="103">
        <f>($C$7*Tabla4MesCerveza[[#This Row],[Ocupación]])</f>
        <v>196.31189245032425</v>
      </c>
      <c r="E19" s="104">
        <f t="shared" si="0"/>
        <v>107810</v>
      </c>
      <c r="F19" s="104">
        <f>Tabla4MesCerveza[[#This Row],[Unidades]]*Tabla4MesCerveza[[#This Row],[Precio]]</f>
        <v>21164385.125069458</v>
      </c>
      <c r="G19" s="15"/>
      <c r="H19" s="15"/>
      <c r="I19" s="16" t="s">
        <v>598</v>
      </c>
      <c r="J19" s="21">
        <f>AVERAGE(J15:J18)</f>
        <v>107810</v>
      </c>
      <c r="K19" s="15"/>
      <c r="L19" s="16" t="s">
        <v>598</v>
      </c>
      <c r="M19" s="21">
        <f>AVERAGE(M15:M18)</f>
        <v>51810</v>
      </c>
      <c r="N19" s="15"/>
      <c r="O19" s="16" t="s">
        <v>598</v>
      </c>
      <c r="P19" s="21">
        <f>AVERAGE(P15:P18)</f>
        <v>10107.5</v>
      </c>
    </row>
    <row r="20" spans="1:16" ht="15.75" x14ac:dyDescent="0.25">
      <c r="A20" s="83" t="s">
        <v>72</v>
      </c>
      <c r="B20" s="101" t="s">
        <v>92</v>
      </c>
      <c r="C20" s="102">
        <v>0.47789999999999999</v>
      </c>
      <c r="D20" s="103">
        <f>($C$7*Tabla4MesCerveza[[#This Row],[Ocupación]])</f>
        <v>127.15838086474648</v>
      </c>
      <c r="E20" s="104">
        <f t="shared" si="0"/>
        <v>107810</v>
      </c>
      <c r="F20" s="104">
        <f>Tabla4MesCerveza[[#This Row],[Unidades]]*Tabla4MesCerveza[[#This Row],[Precio]]</f>
        <v>13708945.041028317</v>
      </c>
      <c r="G20" s="15"/>
      <c r="H20" s="15"/>
      <c r="I20" s="15"/>
      <c r="J20" s="55"/>
      <c r="K20" s="15"/>
      <c r="L20" s="15"/>
      <c r="M20" s="15"/>
      <c r="N20" s="15"/>
    </row>
    <row r="21" spans="1:16" ht="15.75" x14ac:dyDescent="0.25">
      <c r="A21" s="83"/>
      <c r="B21" s="97" t="s">
        <v>66</v>
      </c>
      <c r="C21" s="97"/>
      <c r="D21" s="99">
        <f>SUBTOTAL(109,Tabla4MesCerveza[Unidades])</f>
        <v>2437.2422115149434</v>
      </c>
      <c r="E21" s="261"/>
      <c r="F21" s="261">
        <f>SUBTOTAL(109,Tabla4MesCerveza[Total])</f>
        <v>262759082.82342604</v>
      </c>
      <c r="G21" s="15"/>
      <c r="H21" s="15"/>
      <c r="I21" s="15"/>
      <c r="J21" s="15"/>
      <c r="K21" s="15"/>
      <c r="L21" s="15"/>
      <c r="M21" s="15"/>
      <c r="N21" s="15"/>
    </row>
    <row r="22" spans="1:16" ht="15.75" x14ac:dyDescent="0.25">
      <c r="A22" s="15"/>
      <c r="B22" s="15"/>
      <c r="C22" s="15"/>
      <c r="D22" s="15"/>
      <c r="E22" s="15"/>
      <c r="F22" s="15"/>
      <c r="G22" s="15"/>
      <c r="H22" s="15"/>
      <c r="I22" s="15"/>
      <c r="J22" s="15"/>
      <c r="K22" s="15"/>
      <c r="L22" s="15"/>
      <c r="M22" s="15"/>
      <c r="N22" s="15"/>
    </row>
    <row r="23" spans="1:16" ht="15.75" x14ac:dyDescent="0.25">
      <c r="A23" s="83"/>
      <c r="B23" s="93" t="s">
        <v>93</v>
      </c>
      <c r="C23" s="15"/>
      <c r="D23" s="15"/>
      <c r="E23" s="15"/>
      <c r="F23" s="15"/>
      <c r="G23" s="15"/>
      <c r="H23" s="15"/>
      <c r="I23" s="15"/>
      <c r="J23" s="15"/>
      <c r="K23" s="15"/>
      <c r="L23" s="15"/>
      <c r="M23" s="15"/>
      <c r="N23" s="15"/>
    </row>
    <row r="24" spans="1:16" ht="15.75" x14ac:dyDescent="0.25">
      <c r="A24" s="93" t="s">
        <v>60</v>
      </c>
      <c r="B24" s="93" t="s">
        <v>79</v>
      </c>
      <c r="C24" s="94">
        <f>M10</f>
        <v>38.011054573505071</v>
      </c>
      <c r="D24" s="19"/>
      <c r="E24" s="19"/>
      <c r="F24" s="19"/>
      <c r="G24" s="15"/>
      <c r="H24" s="15"/>
      <c r="I24" s="15"/>
      <c r="J24" s="15"/>
      <c r="K24" s="15"/>
      <c r="L24" s="15"/>
      <c r="M24" s="15"/>
      <c r="N24" s="15"/>
    </row>
    <row r="25" spans="1:16" ht="15.75" x14ac:dyDescent="0.25">
      <c r="A25" s="96"/>
      <c r="B25" s="97" t="s">
        <v>62</v>
      </c>
      <c r="C25" s="105" t="s">
        <v>63</v>
      </c>
      <c r="D25" s="97" t="s">
        <v>64</v>
      </c>
      <c r="E25" s="97" t="s">
        <v>65</v>
      </c>
      <c r="F25" s="97" t="s">
        <v>66</v>
      </c>
      <c r="G25" s="15"/>
      <c r="H25" s="15"/>
      <c r="I25" s="15"/>
      <c r="J25" s="15"/>
      <c r="K25" s="15"/>
      <c r="L25" s="15"/>
      <c r="M25" s="15"/>
      <c r="N25" s="15"/>
    </row>
    <row r="26" spans="1:16" ht="15.75" x14ac:dyDescent="0.25">
      <c r="A26" s="83" t="s">
        <v>72</v>
      </c>
      <c r="B26" s="101" t="s">
        <v>73</v>
      </c>
      <c r="C26" s="102">
        <v>0.43590000000000001</v>
      </c>
      <c r="D26" s="103">
        <f>($C$24*Tabla4MesCerveza3[[#This Row],[Ocupación]])</f>
        <v>16.569018688590862</v>
      </c>
      <c r="E26" s="104">
        <v>51810</v>
      </c>
      <c r="F26" s="104">
        <f>Tabla4MesCerveza3[[#This Row],[Unidades]]*Tabla4MesCerveza3[[#This Row],[Precio]]</f>
        <v>858440.85825589253</v>
      </c>
      <c r="G26" s="15"/>
      <c r="H26" s="15"/>
      <c r="I26" s="15"/>
      <c r="J26" s="15"/>
      <c r="K26" s="15"/>
      <c r="L26" s="15"/>
      <c r="M26" s="15"/>
      <c r="N26" s="15"/>
    </row>
    <row r="27" spans="1:16" ht="15.75" x14ac:dyDescent="0.25">
      <c r="A27" s="83" t="s">
        <v>76</v>
      </c>
      <c r="B27" s="101" t="s">
        <v>77</v>
      </c>
      <c r="C27" s="102">
        <v>0.92569999999999997</v>
      </c>
      <c r="D27" s="103">
        <f>($C$24*Tabla4MesCerveza3[[#This Row],[Ocupación]])</f>
        <v>35.186833218693643</v>
      </c>
      <c r="E27" s="104">
        <v>51810</v>
      </c>
      <c r="F27" s="104">
        <f>Tabla4MesCerveza3[[#This Row],[Unidades]]*Tabla4MesCerveza3[[#This Row],[Precio]]</f>
        <v>1823029.8290605177</v>
      </c>
      <c r="G27" s="15"/>
      <c r="H27" s="15"/>
      <c r="I27" s="15"/>
      <c r="J27" s="15"/>
      <c r="K27" s="15"/>
      <c r="L27" s="15"/>
      <c r="M27" s="15"/>
      <c r="N27" s="15"/>
    </row>
    <row r="28" spans="1:16" ht="15.75" x14ac:dyDescent="0.25">
      <c r="A28" s="83" t="s">
        <v>76</v>
      </c>
      <c r="B28" s="101" t="s">
        <v>80</v>
      </c>
      <c r="C28" s="102">
        <v>0.91810000000000003</v>
      </c>
      <c r="D28" s="103">
        <f>($C$24*Tabla4MesCerveza3[[#This Row],[Ocupación]])</f>
        <v>34.897949203935006</v>
      </c>
      <c r="E28" s="104">
        <v>51810</v>
      </c>
      <c r="F28" s="104">
        <f>Tabla4MesCerveza3[[#This Row],[Unidades]]*Tabla4MesCerveza3[[#This Row],[Precio]]</f>
        <v>1808062.7482558726</v>
      </c>
      <c r="G28" s="15"/>
      <c r="H28" s="15"/>
      <c r="I28" s="15"/>
      <c r="J28" s="15"/>
      <c r="K28" s="15"/>
      <c r="L28" s="15"/>
      <c r="M28" s="15"/>
      <c r="N28" s="15"/>
    </row>
    <row r="29" spans="1:16" ht="15.75" x14ac:dyDescent="0.25">
      <c r="A29" s="83" t="s">
        <v>84</v>
      </c>
      <c r="B29" s="101" t="s">
        <v>83</v>
      </c>
      <c r="C29" s="102">
        <v>0.74939999999999996</v>
      </c>
      <c r="D29" s="103">
        <f>($C$24*Tabla4MesCerveza3[[#This Row],[Ocupación]])</f>
        <v>28.485484297384698</v>
      </c>
      <c r="E29" s="104">
        <v>51810</v>
      </c>
      <c r="F29" s="104">
        <f>Tabla4MesCerveza3[[#This Row],[Unidades]]*Tabla4MesCerveza3[[#This Row],[Precio]]</f>
        <v>1475832.9414475013</v>
      </c>
      <c r="G29" s="15"/>
      <c r="H29" s="15"/>
      <c r="I29" s="15"/>
      <c r="J29" s="15"/>
      <c r="K29" s="15"/>
      <c r="L29" s="15"/>
      <c r="M29" s="15"/>
      <c r="N29" s="15"/>
    </row>
    <row r="30" spans="1:16" ht="15.75" x14ac:dyDescent="0.25">
      <c r="A30" s="83" t="s">
        <v>84</v>
      </c>
      <c r="B30" s="101" t="s">
        <v>85</v>
      </c>
      <c r="C30" s="102">
        <v>0.73819999999999997</v>
      </c>
      <c r="D30" s="103">
        <f>($C$24*Tabla4MesCerveza3[[#This Row],[Ocupación]])</f>
        <v>28.059760486161441</v>
      </c>
      <c r="E30" s="104">
        <v>51810</v>
      </c>
      <c r="F30" s="104">
        <f>Tabla4MesCerveza3[[#This Row],[Unidades]]*Tabla4MesCerveza3[[#This Row],[Precio]]</f>
        <v>1453776.1907880243</v>
      </c>
      <c r="G30" s="15"/>
      <c r="H30" s="15"/>
      <c r="I30" s="15"/>
      <c r="J30" s="15"/>
      <c r="K30" s="15"/>
      <c r="L30" s="15"/>
      <c r="M30" s="15"/>
      <c r="N30" s="15"/>
    </row>
    <row r="31" spans="1:16" ht="15.75" x14ac:dyDescent="0.25">
      <c r="A31" s="83" t="s">
        <v>84</v>
      </c>
      <c r="B31" s="101" t="s">
        <v>86</v>
      </c>
      <c r="C31" s="102">
        <v>0.7258</v>
      </c>
      <c r="D31" s="103">
        <f>($C$24*Tabla4MesCerveza3[[#This Row],[Ocupación]])</f>
        <v>27.58842340944998</v>
      </c>
      <c r="E31" s="104">
        <v>51810</v>
      </c>
      <c r="F31" s="104">
        <f>Tabla4MesCerveza3[[#This Row],[Unidades]]*Tabla4MesCerveza3[[#This Row],[Precio]]</f>
        <v>1429356.2168436034</v>
      </c>
      <c r="G31" s="15"/>
      <c r="H31" s="15"/>
      <c r="I31" s="15"/>
      <c r="J31" s="15"/>
      <c r="K31" s="15"/>
      <c r="L31" s="15"/>
      <c r="M31" s="15"/>
      <c r="N31" s="15"/>
    </row>
    <row r="32" spans="1:16" ht="15.75" x14ac:dyDescent="0.25">
      <c r="A32" s="83" t="s">
        <v>84</v>
      </c>
      <c r="B32" s="101" t="s">
        <v>87</v>
      </c>
      <c r="C32" s="102">
        <v>0.74460000000000004</v>
      </c>
      <c r="D32" s="103">
        <f>($C$24*Tabla4MesCerveza3[[#This Row],[Ocupación]])</f>
        <v>28.303031235431877</v>
      </c>
      <c r="E32" s="104">
        <v>51810</v>
      </c>
      <c r="F32" s="104">
        <f>Tabla4MesCerveza3[[#This Row],[Unidades]]*Tabla4MesCerveza3[[#This Row],[Precio]]</f>
        <v>1466380.0483077255</v>
      </c>
      <c r="G32" s="15"/>
      <c r="H32" s="15"/>
      <c r="I32" s="15"/>
      <c r="J32" s="15"/>
      <c r="K32" s="15"/>
      <c r="L32" s="15"/>
      <c r="M32" s="15"/>
      <c r="N32" s="15"/>
    </row>
    <row r="33" spans="1:14" ht="15.75" x14ac:dyDescent="0.25">
      <c r="A33" s="83" t="s">
        <v>84</v>
      </c>
      <c r="B33" s="101" t="s">
        <v>88</v>
      </c>
      <c r="C33" s="102">
        <v>0.70699999999999996</v>
      </c>
      <c r="D33" s="103">
        <f>($C$24*Tabla4MesCerveza3[[#This Row],[Ocupación]])</f>
        <v>26.873815583468083</v>
      </c>
      <c r="E33" s="104">
        <v>51810</v>
      </c>
      <c r="F33" s="104">
        <f>Tabla4MesCerveza3[[#This Row],[Unidades]]*Tabla4MesCerveza3[[#This Row],[Precio]]</f>
        <v>1392332.3853794814</v>
      </c>
      <c r="G33" s="15"/>
      <c r="H33" s="15"/>
      <c r="I33" s="15"/>
      <c r="J33" s="15"/>
      <c r="K33" s="15"/>
      <c r="L33" s="15"/>
      <c r="M33" s="15"/>
      <c r="N33" s="15"/>
    </row>
    <row r="34" spans="1:14" ht="15.75" x14ac:dyDescent="0.25">
      <c r="A34" s="83" t="s">
        <v>76</v>
      </c>
      <c r="B34" s="101" t="s">
        <v>89</v>
      </c>
      <c r="C34" s="102">
        <v>0.95340000000000003</v>
      </c>
      <c r="D34" s="103">
        <f>($C$24*Tabla4MesCerveza3[[#This Row],[Ocupación]])</f>
        <v>36.239739430379736</v>
      </c>
      <c r="E34" s="104">
        <v>51810</v>
      </c>
      <c r="F34" s="104">
        <f>Tabla4MesCerveza3[[#This Row],[Unidades]]*Tabla4MesCerveza3[[#This Row],[Precio]]</f>
        <v>1877580.8998879741</v>
      </c>
      <c r="G34" s="15"/>
      <c r="H34" s="15"/>
      <c r="I34" s="15"/>
      <c r="J34" s="15"/>
      <c r="K34" s="15"/>
      <c r="L34" s="15"/>
      <c r="M34" s="15"/>
      <c r="N34" s="15"/>
    </row>
    <row r="35" spans="1:14" ht="15.75" x14ac:dyDescent="0.25">
      <c r="A35" s="83" t="s">
        <v>76</v>
      </c>
      <c r="B35" s="101" t="s">
        <v>90</v>
      </c>
      <c r="C35" s="102">
        <v>0.98980000000000001</v>
      </c>
      <c r="D35" s="103">
        <f>($C$24*Tabla4MesCerveza3[[#This Row],[Ocupación]])</f>
        <v>37.623341816855323</v>
      </c>
      <c r="E35" s="104">
        <v>51810</v>
      </c>
      <c r="F35" s="104">
        <f>Tabla4MesCerveza3[[#This Row],[Unidades]]*Tabla4MesCerveza3[[#This Row],[Precio]]</f>
        <v>1949265.3395312743</v>
      </c>
      <c r="G35" s="15"/>
      <c r="H35" s="15"/>
      <c r="I35" s="15"/>
      <c r="J35" s="15"/>
      <c r="K35" s="15"/>
      <c r="L35" s="15"/>
      <c r="M35" s="15"/>
      <c r="N35" s="15"/>
    </row>
    <row r="36" spans="1:14" ht="15.75" x14ac:dyDescent="0.25">
      <c r="A36" s="83" t="s">
        <v>84</v>
      </c>
      <c r="B36" s="101" t="s">
        <v>91</v>
      </c>
      <c r="C36" s="102">
        <v>0.70820000000000005</v>
      </c>
      <c r="D36" s="103">
        <f>($C$24*Tabla4MesCerveza3[[#This Row],[Ocupación]])</f>
        <v>26.919428848956294</v>
      </c>
      <c r="E36" s="104">
        <v>51810</v>
      </c>
      <c r="F36" s="104">
        <f>Tabla4MesCerveza3[[#This Row],[Unidades]]*Tabla4MesCerveza3[[#This Row],[Precio]]</f>
        <v>1394695.6086644256</v>
      </c>
      <c r="G36" s="15"/>
      <c r="H36" s="15"/>
      <c r="I36" s="15"/>
      <c r="J36" s="15"/>
      <c r="K36" s="15"/>
      <c r="L36" s="15"/>
      <c r="M36" s="15"/>
      <c r="N36" s="15"/>
    </row>
    <row r="37" spans="1:14" ht="15.75" x14ac:dyDescent="0.25">
      <c r="A37" s="83" t="s">
        <v>72</v>
      </c>
      <c r="B37" s="101" t="s">
        <v>92</v>
      </c>
      <c r="C37" s="102">
        <v>0.5</v>
      </c>
      <c r="D37" s="103">
        <f>($C$24*Tabla4MesCerveza3[[#This Row],[Ocupación]])</f>
        <v>19.005527286752535</v>
      </c>
      <c r="E37" s="104">
        <v>51810</v>
      </c>
      <c r="F37" s="104">
        <f>Tabla4MesCerveza3[[#This Row],[Unidades]]*Tabla4MesCerveza3[[#This Row],[Precio]]</f>
        <v>984676.36872664886</v>
      </c>
      <c r="G37" s="15"/>
      <c r="H37" s="15"/>
      <c r="I37" s="15"/>
      <c r="J37" s="15"/>
      <c r="K37" s="15"/>
      <c r="L37" s="15"/>
      <c r="M37" s="15"/>
      <c r="N37" s="15"/>
    </row>
    <row r="38" spans="1:14" ht="15.75" x14ac:dyDescent="0.25">
      <c r="A38" s="83"/>
      <c r="B38" s="97" t="s">
        <v>66</v>
      </c>
      <c r="C38" s="97"/>
      <c r="D38" s="99">
        <f>SUBTOTAL(109,Tabla4MesCerveza3[Unidades])</f>
        <v>345.75235350605942</v>
      </c>
      <c r="E38" s="261"/>
      <c r="F38" s="261">
        <f>SUBTOTAL(109,Tabla4MesCerveza3[Total])</f>
        <v>17913429.435148943</v>
      </c>
      <c r="G38" s="15"/>
      <c r="H38" s="15"/>
      <c r="I38" s="15"/>
      <c r="J38" s="15"/>
      <c r="K38" s="15"/>
      <c r="L38" s="15"/>
      <c r="M38" s="15"/>
      <c r="N38" s="15"/>
    </row>
    <row r="39" spans="1:14" ht="15.75" x14ac:dyDescent="0.25">
      <c r="A39" s="15"/>
      <c r="B39" s="15"/>
      <c r="C39" s="15"/>
      <c r="D39" s="15"/>
      <c r="E39" s="15"/>
      <c r="F39" s="15"/>
      <c r="G39" s="15"/>
      <c r="H39" s="15"/>
      <c r="I39" s="15"/>
      <c r="J39" s="15"/>
      <c r="K39" s="15"/>
      <c r="L39" s="15"/>
      <c r="M39" s="15"/>
      <c r="N39" s="15"/>
    </row>
    <row r="40" spans="1:14" ht="15.75" x14ac:dyDescent="0.25">
      <c r="A40" s="15"/>
      <c r="B40" s="84" t="s">
        <v>93</v>
      </c>
      <c r="C40" s="15"/>
      <c r="D40" s="15"/>
      <c r="E40" s="15"/>
      <c r="F40" s="15"/>
      <c r="G40" s="15"/>
      <c r="H40" s="15"/>
      <c r="I40" s="15"/>
      <c r="J40" s="15"/>
      <c r="K40" s="15"/>
      <c r="L40" s="15"/>
      <c r="M40" s="15"/>
      <c r="N40" s="15"/>
    </row>
    <row r="41" spans="1:14" ht="15.75" x14ac:dyDescent="0.25">
      <c r="A41" s="84" t="s">
        <v>60</v>
      </c>
      <c r="B41" s="84" t="s">
        <v>94</v>
      </c>
      <c r="C41" s="257">
        <f>M11</f>
        <v>76.022109147010141</v>
      </c>
      <c r="D41" s="19"/>
      <c r="E41" s="19"/>
      <c r="F41" s="19"/>
      <c r="G41" s="15"/>
      <c r="H41" s="15"/>
      <c r="I41" s="15"/>
      <c r="J41" s="15"/>
      <c r="K41" s="15"/>
      <c r="L41" s="15"/>
      <c r="M41" s="15"/>
      <c r="N41" s="15"/>
    </row>
    <row r="42" spans="1:14" ht="15.75" x14ac:dyDescent="0.25">
      <c r="A42" s="83"/>
      <c r="B42" s="97" t="s">
        <v>62</v>
      </c>
      <c r="C42" s="98" t="s">
        <v>63</v>
      </c>
      <c r="D42" s="97" t="s">
        <v>64</v>
      </c>
      <c r="E42" s="97" t="s">
        <v>65</v>
      </c>
      <c r="F42" s="97" t="s">
        <v>66</v>
      </c>
      <c r="G42" s="15"/>
      <c r="H42" s="15"/>
      <c r="I42" s="15"/>
      <c r="J42" s="15"/>
      <c r="K42" s="15"/>
      <c r="L42" s="15"/>
      <c r="M42" s="15"/>
      <c r="N42" s="15"/>
    </row>
    <row r="43" spans="1:14" ht="15.75" x14ac:dyDescent="0.25">
      <c r="A43" s="83" t="s">
        <v>72</v>
      </c>
      <c r="B43" s="101" t="s">
        <v>73</v>
      </c>
      <c r="C43" s="102">
        <v>0.49669999999999997</v>
      </c>
      <c r="D43" s="103">
        <f>($C$41*Tabla4MesCerveza36[[#This Row],[Ocupación]])</f>
        <v>37.760181613319936</v>
      </c>
      <c r="E43" s="104">
        <v>10108</v>
      </c>
      <c r="F43" s="104">
        <f>Tabla4MesCerveza36[[#This Row],[Unidades]]*Tabla4MesCerveza36[[#This Row],[Precio]]</f>
        <v>381679.91574743792</v>
      </c>
      <c r="G43" s="15"/>
      <c r="H43" s="15"/>
      <c r="I43" s="15"/>
      <c r="J43" s="15"/>
      <c r="K43" s="15"/>
      <c r="L43" s="15"/>
      <c r="M43" s="15"/>
      <c r="N43" s="15"/>
    </row>
    <row r="44" spans="1:14" ht="15.75" x14ac:dyDescent="0.25">
      <c r="A44" s="83" t="s">
        <v>76</v>
      </c>
      <c r="B44" s="101" t="s">
        <v>77</v>
      </c>
      <c r="C44" s="102">
        <v>0.92620000000000002</v>
      </c>
      <c r="D44" s="103">
        <f>($C$41*Tabla4MesCerveza36[[#This Row],[Ocupación]])</f>
        <v>70.411677491960788</v>
      </c>
      <c r="E44" s="104">
        <v>10108</v>
      </c>
      <c r="F44" s="104">
        <f>Tabla4MesCerveza36[[#This Row],[Unidades]]*Tabla4MesCerveza36[[#This Row],[Precio]]</f>
        <v>711721.23608873959</v>
      </c>
      <c r="G44" s="15"/>
      <c r="H44" s="15"/>
      <c r="I44" s="15"/>
      <c r="J44" s="15"/>
      <c r="K44" s="15"/>
      <c r="L44" s="15"/>
      <c r="M44" s="15"/>
      <c r="N44" s="15"/>
    </row>
    <row r="45" spans="1:14" ht="15.75" x14ac:dyDescent="0.25">
      <c r="A45" s="83" t="s">
        <v>76</v>
      </c>
      <c r="B45" s="101" t="s">
        <v>80</v>
      </c>
      <c r="C45" s="102">
        <v>0.95960000000000001</v>
      </c>
      <c r="D45" s="103">
        <f>($C$41*Tabla4MesCerveza36[[#This Row],[Ocupación]])</f>
        <v>72.950815937470935</v>
      </c>
      <c r="E45" s="104">
        <v>10108</v>
      </c>
      <c r="F45" s="104">
        <f>Tabla4MesCerveza36[[#This Row],[Unidades]]*Tabla4MesCerveza36[[#This Row],[Precio]]</f>
        <v>737386.84749595623</v>
      </c>
      <c r="G45" s="15"/>
      <c r="H45" s="15"/>
      <c r="I45" s="15"/>
      <c r="J45" s="15"/>
      <c r="K45" s="15"/>
      <c r="L45" s="15"/>
      <c r="M45" s="15"/>
      <c r="N45" s="15"/>
    </row>
    <row r="46" spans="1:14" ht="15.75" x14ac:dyDescent="0.25">
      <c r="A46" s="83" t="s">
        <v>84</v>
      </c>
      <c r="B46" s="101" t="s">
        <v>83</v>
      </c>
      <c r="C46" s="102">
        <v>0.7409</v>
      </c>
      <c r="D46" s="103">
        <f>($C$41*Tabla4MesCerveza36[[#This Row],[Ocupación]])</f>
        <v>56.324780667019816</v>
      </c>
      <c r="E46" s="104">
        <v>10108</v>
      </c>
      <c r="F46" s="104">
        <f>Tabla4MesCerveza36[[#This Row],[Unidades]]*Tabla4MesCerveza36[[#This Row],[Precio]]</f>
        <v>569330.88298223633</v>
      </c>
      <c r="G46" s="15"/>
      <c r="H46" s="15"/>
      <c r="I46" s="15"/>
      <c r="J46" s="15"/>
      <c r="K46" s="15"/>
      <c r="L46" s="15"/>
      <c r="M46" s="15"/>
      <c r="N46" s="15"/>
    </row>
    <row r="47" spans="1:14" ht="15.75" x14ac:dyDescent="0.25">
      <c r="A47" s="83" t="s">
        <v>84</v>
      </c>
      <c r="B47" s="101" t="s">
        <v>85</v>
      </c>
      <c r="C47" s="102">
        <v>0.70099999999999996</v>
      </c>
      <c r="D47" s="103">
        <f>($C$41*Tabla4MesCerveza36[[#This Row],[Ocupación]])</f>
        <v>53.291498512054105</v>
      </c>
      <c r="E47" s="104">
        <v>10108</v>
      </c>
      <c r="F47" s="104">
        <f>Tabla4MesCerveza36[[#This Row],[Unidades]]*Tabla4MesCerveza36[[#This Row],[Precio]]</f>
        <v>538670.46695984295</v>
      </c>
      <c r="G47" s="15"/>
      <c r="H47" s="15"/>
      <c r="I47" s="15"/>
      <c r="J47" s="15"/>
      <c r="K47" s="15"/>
      <c r="L47" s="15"/>
      <c r="M47" s="15"/>
      <c r="N47" s="15"/>
    </row>
    <row r="48" spans="1:14" ht="15.75" x14ac:dyDescent="0.25">
      <c r="A48" s="83" t="s">
        <v>84</v>
      </c>
      <c r="B48" s="101" t="s">
        <v>86</v>
      </c>
      <c r="C48" s="102">
        <v>0.73119999999999996</v>
      </c>
      <c r="D48" s="103">
        <f>($C$41*Tabla4MesCerveza36[[#This Row],[Ocupación]])</f>
        <v>55.587366208293815</v>
      </c>
      <c r="E48" s="104">
        <v>10108</v>
      </c>
      <c r="F48" s="104">
        <f>Tabla4MesCerveza36[[#This Row],[Unidades]]*Tabla4MesCerveza36[[#This Row],[Precio]]</f>
        <v>561877.09763343388</v>
      </c>
      <c r="G48" s="15"/>
      <c r="H48" s="15"/>
      <c r="I48" s="15"/>
      <c r="J48" s="15"/>
      <c r="K48" s="15"/>
      <c r="L48" s="15"/>
      <c r="M48" s="15"/>
      <c r="N48" s="15"/>
    </row>
    <row r="49" spans="1:14" ht="15.75" x14ac:dyDescent="0.25">
      <c r="A49" s="83" t="s">
        <v>84</v>
      </c>
      <c r="B49" s="101" t="s">
        <v>87</v>
      </c>
      <c r="C49" s="102">
        <v>0.74460000000000004</v>
      </c>
      <c r="D49" s="103">
        <f>($C$41*Tabla4MesCerveza36[[#This Row],[Ocupación]])</f>
        <v>56.606062470863755</v>
      </c>
      <c r="E49" s="104">
        <v>10108</v>
      </c>
      <c r="F49" s="104">
        <f>Tabla4MesCerveza36[[#This Row],[Unidades]]*Tabla4MesCerveza36[[#This Row],[Precio]]</f>
        <v>572174.07945549081</v>
      </c>
      <c r="G49" s="15"/>
      <c r="H49" s="15"/>
      <c r="I49" s="15"/>
      <c r="J49" s="15"/>
      <c r="K49" s="15"/>
      <c r="L49" s="15"/>
      <c r="M49" s="15"/>
      <c r="N49" s="15"/>
    </row>
    <row r="50" spans="1:14" ht="15.75" x14ac:dyDescent="0.25">
      <c r="A50" s="83" t="s">
        <v>76</v>
      </c>
      <c r="B50" s="101" t="s">
        <v>88</v>
      </c>
      <c r="C50" s="102">
        <v>0.94810000000000005</v>
      </c>
      <c r="D50" s="103">
        <f>($C$41*Tabla4MesCerveza36[[#This Row],[Ocupación]])</f>
        <v>72.076561682280314</v>
      </c>
      <c r="E50" s="104">
        <v>10108</v>
      </c>
      <c r="F50" s="104">
        <f>Tabla4MesCerveza36[[#This Row],[Unidades]]*Tabla4MesCerveza36[[#This Row],[Precio]]</f>
        <v>728549.88548448938</v>
      </c>
      <c r="G50" s="15"/>
      <c r="H50" s="15"/>
      <c r="I50" s="15"/>
      <c r="J50" s="15"/>
      <c r="K50" s="15"/>
      <c r="L50" s="15"/>
      <c r="M50" s="15"/>
      <c r="N50" s="15"/>
    </row>
    <row r="51" spans="1:14" ht="15.75" x14ac:dyDescent="0.25">
      <c r="A51" s="83" t="s">
        <v>76</v>
      </c>
      <c r="B51" s="101" t="s">
        <v>89</v>
      </c>
      <c r="C51" s="102">
        <v>0.95689999999999997</v>
      </c>
      <c r="D51" s="103">
        <f>($C$41*Tabla4MesCerveza36[[#This Row],[Ocupación]])</f>
        <v>72.745556242774001</v>
      </c>
      <c r="E51" s="104">
        <v>10108</v>
      </c>
      <c r="F51" s="104">
        <f>Tabla4MesCerveza36[[#This Row],[Unidades]]*Tabla4MesCerveza36[[#This Row],[Precio]]</f>
        <v>735312.08250195964</v>
      </c>
      <c r="G51" s="15"/>
      <c r="H51" s="15"/>
      <c r="I51" s="15"/>
      <c r="J51" s="15"/>
      <c r="K51" s="15"/>
      <c r="L51" s="15"/>
      <c r="M51" s="15"/>
      <c r="N51" s="15"/>
    </row>
    <row r="52" spans="1:14" ht="15.75" x14ac:dyDescent="0.25">
      <c r="A52" s="83" t="s">
        <v>76</v>
      </c>
      <c r="B52" s="101" t="s">
        <v>90</v>
      </c>
      <c r="C52" s="102">
        <v>0.98370000000000002</v>
      </c>
      <c r="D52" s="103">
        <f>($C$41*Tabla4MesCerveza36[[#This Row],[Ocupación]])</f>
        <v>74.782948767913879</v>
      </c>
      <c r="E52" s="104">
        <v>10108</v>
      </c>
      <c r="F52" s="104">
        <f>Tabla4MesCerveza36[[#This Row],[Unidades]]*Tabla4MesCerveza36[[#This Row],[Precio]]</f>
        <v>755906.0461460735</v>
      </c>
      <c r="G52" s="15"/>
      <c r="H52" s="15"/>
      <c r="I52" s="15"/>
      <c r="J52" s="15"/>
      <c r="K52" s="15"/>
      <c r="L52" s="15"/>
      <c r="M52" s="15"/>
      <c r="N52" s="15"/>
    </row>
    <row r="53" spans="1:14" ht="15.75" x14ac:dyDescent="0.25">
      <c r="A53" s="83" t="s">
        <v>84</v>
      </c>
      <c r="B53" s="101" t="s">
        <v>91</v>
      </c>
      <c r="C53" s="102">
        <v>0.74780000000000002</v>
      </c>
      <c r="D53" s="103">
        <f>($C$41*Tabla4MesCerveza36[[#This Row],[Ocupación]])</f>
        <v>56.849333220134184</v>
      </c>
      <c r="E53" s="104">
        <v>10108</v>
      </c>
      <c r="F53" s="104">
        <f>Tabla4MesCerveza36[[#This Row],[Unidades]]*Tabla4MesCerveza36[[#This Row],[Precio]]</f>
        <v>574633.06018911628</v>
      </c>
      <c r="G53" s="15"/>
      <c r="H53" s="15"/>
      <c r="I53" s="15"/>
      <c r="J53" s="15"/>
      <c r="K53" s="15"/>
      <c r="L53" s="15"/>
      <c r="M53" s="15"/>
      <c r="N53" s="15"/>
    </row>
    <row r="54" spans="1:14" ht="15.75" x14ac:dyDescent="0.25">
      <c r="A54" s="83" t="s">
        <v>72</v>
      </c>
      <c r="B54" s="101" t="s">
        <v>92</v>
      </c>
      <c r="C54" s="102">
        <v>0.4965</v>
      </c>
      <c r="D54" s="103">
        <f>($C$41*Tabla4MesCerveza36[[#This Row],[Ocupación]])</f>
        <v>37.744977191490534</v>
      </c>
      <c r="E54" s="104">
        <v>10108</v>
      </c>
      <c r="F54" s="104">
        <f>Tabla4MesCerveza36[[#This Row],[Unidades]]*Tabla4MesCerveza36[[#This Row],[Precio]]</f>
        <v>381526.22945158632</v>
      </c>
      <c r="G54" s="15"/>
      <c r="H54" s="15"/>
      <c r="I54" s="15"/>
      <c r="J54" s="15"/>
      <c r="K54" s="15"/>
      <c r="L54" s="15"/>
      <c r="M54" s="15"/>
      <c r="N54" s="15"/>
    </row>
    <row r="55" spans="1:14" ht="15.75" x14ac:dyDescent="0.25">
      <c r="A55" s="83"/>
      <c r="B55" s="97" t="s">
        <v>66</v>
      </c>
      <c r="C55" s="97"/>
      <c r="D55" s="99">
        <f>SUBTOTAL(109,Tabla4MesCerveza36[Unidades])</f>
        <v>717.1317600055761</v>
      </c>
      <c r="E55" s="100"/>
      <c r="F55" s="100">
        <f>SUBTOTAL(109,Tabla4MesCerveza36[Total])</f>
        <v>7248767.8301363634</v>
      </c>
      <c r="G55" s="15"/>
      <c r="H55" s="15"/>
      <c r="I55" s="15"/>
      <c r="J55" s="15"/>
      <c r="K55" s="15"/>
      <c r="L55" s="15"/>
      <c r="M55" s="15"/>
      <c r="N55" s="15"/>
    </row>
    <row r="56" spans="1:14" ht="15.75" x14ac:dyDescent="0.25">
      <c r="A56" s="15"/>
      <c r="B56" s="15"/>
      <c r="C56" s="15"/>
      <c r="D56" s="15"/>
      <c r="E56" s="15"/>
      <c r="F56" s="15"/>
      <c r="G56" s="15"/>
      <c r="H56" s="15"/>
      <c r="I56" s="15"/>
      <c r="J56" s="15"/>
      <c r="K56" s="15"/>
      <c r="L56" s="15"/>
      <c r="M56" s="15"/>
      <c r="N56" s="15"/>
    </row>
    <row r="57" spans="1:14" ht="15.75" x14ac:dyDescent="0.25">
      <c r="A57" s="15"/>
      <c r="B57" s="15"/>
      <c r="C57" s="15"/>
      <c r="D57" s="15"/>
      <c r="E57" s="15"/>
      <c r="F57" s="15"/>
      <c r="G57" s="15"/>
      <c r="H57" s="15"/>
      <c r="I57" s="15"/>
      <c r="J57" s="15"/>
      <c r="K57" s="15"/>
      <c r="L57" s="15"/>
      <c r="M57" s="15"/>
      <c r="N57" s="15"/>
    </row>
    <row r="58" spans="1:14" ht="15.75" x14ac:dyDescent="0.25">
      <c r="A58" s="289" t="s">
        <v>95</v>
      </c>
      <c r="B58" s="289"/>
      <c r="C58" s="289"/>
      <c r="D58" s="289"/>
      <c r="E58" s="289"/>
      <c r="F58" s="109">
        <f>Tabla4MesCerveza[[#Totals],[Total]]+Tabla4MesCerveza3[[#Totals],[Total]]+Tabla4MesCerveza36[[#Totals],[Total]]</f>
        <v>287921280.08871132</v>
      </c>
      <c r="G58" s="15"/>
      <c r="H58" s="19" t="s">
        <v>589</v>
      </c>
      <c r="I58" s="15"/>
      <c r="J58" s="15"/>
      <c r="K58" s="15"/>
      <c r="L58" s="15"/>
      <c r="M58" s="15"/>
      <c r="N58" s="15"/>
    </row>
    <row r="59" spans="1:14" ht="15.75" x14ac:dyDescent="0.25">
      <c r="A59" s="15"/>
      <c r="B59" s="15"/>
      <c r="C59" s="15"/>
      <c r="D59" s="15"/>
      <c r="E59" s="15"/>
      <c r="F59" s="15"/>
      <c r="G59" s="15"/>
      <c r="H59" s="15"/>
      <c r="I59" s="15"/>
      <c r="J59" s="15"/>
      <c r="K59" s="15"/>
      <c r="L59" s="15"/>
      <c r="M59" s="15"/>
      <c r="N59" s="15"/>
    </row>
  </sheetData>
  <mergeCells count="4">
    <mergeCell ref="A58:E58"/>
    <mergeCell ref="I13:J13"/>
    <mergeCell ref="L13:M13"/>
    <mergeCell ref="O13:P13"/>
  </mergeCells>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29"/>
  <sheetViews>
    <sheetView showGridLines="0" tabSelected="1" topLeftCell="B1" workbookViewId="0">
      <selection activeCell="E13" sqref="E13"/>
    </sheetView>
  </sheetViews>
  <sheetFormatPr baseColWidth="10" defaultColWidth="9.140625" defaultRowHeight="15" x14ac:dyDescent="0.25"/>
  <cols>
    <col min="2" max="2" width="44.140625" bestFit="1" customWidth="1"/>
    <col min="3" max="3" width="18.85546875" bestFit="1" customWidth="1"/>
    <col min="4" max="4" width="17.7109375" bestFit="1" customWidth="1"/>
    <col min="5" max="5" width="15.85546875" bestFit="1" customWidth="1"/>
    <col min="6" max="6" width="22.85546875" bestFit="1" customWidth="1"/>
    <col min="7" max="7" width="25.85546875" bestFit="1" customWidth="1"/>
    <col min="8" max="8" width="12.5703125" bestFit="1" customWidth="1"/>
  </cols>
  <sheetData>
    <row r="1" spans="1:8" ht="15.75" x14ac:dyDescent="0.25">
      <c r="A1" s="13"/>
      <c r="B1" s="13"/>
      <c r="C1" s="13"/>
      <c r="D1" s="13"/>
      <c r="E1" s="13"/>
      <c r="F1" s="13"/>
      <c r="G1" s="13"/>
      <c r="H1" s="13"/>
    </row>
    <row r="2" spans="1:8" ht="15.75" x14ac:dyDescent="0.25">
      <c r="A2" s="13"/>
      <c r="B2" s="24" t="s">
        <v>96</v>
      </c>
      <c r="C2" s="13"/>
      <c r="D2" s="13"/>
      <c r="E2" s="13"/>
      <c r="F2" s="13"/>
      <c r="G2" s="13"/>
      <c r="H2" s="13"/>
    </row>
    <row r="3" spans="1:8" ht="15.75" x14ac:dyDescent="0.25">
      <c r="A3" s="13"/>
      <c r="B3" s="24"/>
      <c r="C3" s="13"/>
      <c r="D3" s="13"/>
      <c r="E3" s="13"/>
      <c r="F3" s="13"/>
      <c r="G3" s="13"/>
      <c r="H3" s="13"/>
    </row>
    <row r="4" spans="1:8" ht="15.75" x14ac:dyDescent="0.25">
      <c r="A4" s="13"/>
      <c r="B4" s="13"/>
      <c r="C4" s="312">
        <v>2024</v>
      </c>
      <c r="D4" s="312">
        <v>2025</v>
      </c>
      <c r="E4" s="312">
        <v>2026</v>
      </c>
      <c r="F4" s="312">
        <v>2027</v>
      </c>
      <c r="G4" s="312">
        <v>2028</v>
      </c>
      <c r="H4" s="13"/>
    </row>
    <row r="5" spans="1:8" ht="15.75" x14ac:dyDescent="0.25">
      <c r="A5" s="13"/>
      <c r="B5" s="112" t="s">
        <v>12</v>
      </c>
      <c r="C5" s="113" t="s">
        <v>37</v>
      </c>
      <c r="D5" s="113" t="s">
        <v>38</v>
      </c>
      <c r="E5" s="113" t="s">
        <v>39</v>
      </c>
      <c r="F5" s="113" t="s">
        <v>40</v>
      </c>
      <c r="G5" s="114" t="s">
        <v>41</v>
      </c>
      <c r="H5" s="13"/>
    </row>
    <row r="6" spans="1:8" ht="15.75" x14ac:dyDescent="0.25">
      <c r="A6" s="13"/>
      <c r="B6" s="115" t="s">
        <v>97</v>
      </c>
      <c r="C6" s="116">
        <f>VentasMes!F58</f>
        <v>287921280.08871132</v>
      </c>
      <c r="D6" s="116">
        <f>(Tabla7VentasAnual[Año 1]*G13)+Tabla7VentasAnual[Año 1]</f>
        <v>324112984.99586236</v>
      </c>
      <c r="E6" s="116">
        <f>(Tabla7VentasAnual[Año 2]*G14)+Tabla7VentasAnual[Año 2]</f>
        <v>369002633.41778928</v>
      </c>
      <c r="F6" s="116">
        <f>(Tabla7VentasAnual[Año 3]*G15)+Tabla7VentasAnual[Año 3]</f>
        <v>422471115.00002694</v>
      </c>
      <c r="G6" s="117">
        <f>(Tabla7VentasAnual[Año 4]*G16)+Tabla7VentasAnual[Año 4]</f>
        <v>480645387.53553063</v>
      </c>
      <c r="H6" s="13"/>
    </row>
    <row r="7" spans="1:8" ht="15.75" x14ac:dyDescent="0.25">
      <c r="A7" s="13"/>
      <c r="B7" s="13"/>
      <c r="C7" s="13"/>
      <c r="D7" s="282">
        <f>(Tabla7VentasAnual[Año 2]-Tabla7VentasAnual[Año 1])/Tabla7VentasAnual[Año 1]</f>
        <v>0.12570000000000012</v>
      </c>
      <c r="E7" s="282">
        <f>(Tabla7VentasAnual[Año 3]-Tabla7VentasAnual[Año 2])/Tabla7VentasAnual[Año 2]</f>
        <v>0.13849999999999993</v>
      </c>
      <c r="F7" s="282">
        <f>(Tabla7VentasAnual[Año 4]-Tabla7VentasAnual[Año 3])/Tabla7VentasAnual[Año 3]</f>
        <v>0.14489999999999997</v>
      </c>
      <c r="G7" s="282">
        <f>(Tabla7VentasAnual[Año 5]-Tabla7VentasAnual[Año 4])/Tabla7VentasAnual[Año 4]</f>
        <v>0.13769999999999993</v>
      </c>
      <c r="H7" s="13" t="s">
        <v>590</v>
      </c>
    </row>
    <row r="8" spans="1:8" ht="15.75" x14ac:dyDescent="0.25">
      <c r="A8" s="13"/>
      <c r="B8" s="13"/>
      <c r="C8" s="13"/>
      <c r="D8" s="13"/>
      <c r="E8" s="13"/>
      <c r="F8" s="13"/>
      <c r="G8" s="13"/>
      <c r="H8" s="13"/>
    </row>
    <row r="9" spans="1:8" ht="15.75" x14ac:dyDescent="0.25">
      <c r="A9" s="13"/>
      <c r="B9" s="13"/>
      <c r="C9" s="13"/>
      <c r="D9" s="13"/>
      <c r="E9" s="13"/>
      <c r="F9" s="13"/>
      <c r="G9" s="13"/>
      <c r="H9" s="13"/>
    </row>
    <row r="10" spans="1:8" ht="15.75" x14ac:dyDescent="0.25">
      <c r="A10" s="13"/>
      <c r="B10" s="118" t="s">
        <v>98</v>
      </c>
      <c r="C10" s="119" t="s">
        <v>99</v>
      </c>
      <c r="D10" s="119" t="s">
        <v>100</v>
      </c>
      <c r="E10" s="119" t="s">
        <v>24</v>
      </c>
      <c r="F10" s="119" t="s">
        <v>101</v>
      </c>
      <c r="G10" s="120" t="s">
        <v>102</v>
      </c>
      <c r="H10" s="13"/>
    </row>
    <row r="11" spans="1:8" ht="15.75" x14ac:dyDescent="0.25">
      <c r="A11" s="13"/>
      <c r="B11" s="132"/>
      <c r="C11" s="133"/>
      <c r="D11" s="134"/>
      <c r="E11" s="134"/>
      <c r="F11" s="135"/>
      <c r="G11" s="136">
        <f>Tabla3[[#This Row],[%]]+Tabla3[[#This Row],[Politica de Ventas]]</f>
        <v>0</v>
      </c>
      <c r="H11" s="13"/>
    </row>
    <row r="12" spans="1:8" ht="15.75" x14ac:dyDescent="0.25">
      <c r="A12" s="13"/>
      <c r="B12" s="121" t="s">
        <v>103</v>
      </c>
      <c r="C12" s="122">
        <f>Tabla7VentasAnual[Año 1]</f>
        <v>287921280.08871132</v>
      </c>
      <c r="D12" s="123">
        <v>2024</v>
      </c>
      <c r="E12" s="124">
        <v>6.9400000000000003E-2</v>
      </c>
      <c r="F12" s="125">
        <v>0.05</v>
      </c>
      <c r="G12" s="126">
        <f>Tabla3[[#This Row],[%]]+Tabla3[[#This Row],[Politica de Ventas]]</f>
        <v>0.11940000000000001</v>
      </c>
      <c r="H12" s="13"/>
    </row>
    <row r="13" spans="1:8" ht="15.75" x14ac:dyDescent="0.25">
      <c r="A13" s="13"/>
      <c r="B13" s="121" t="s">
        <v>104</v>
      </c>
      <c r="C13" s="122">
        <f>Tabla7VentasAnual[Año 2]</f>
        <v>324112984.99586236</v>
      </c>
      <c r="D13" s="123">
        <v>2025</v>
      </c>
      <c r="E13" s="124">
        <v>7.5700000000000003E-2</v>
      </c>
      <c r="F13" s="125">
        <v>0.05</v>
      </c>
      <c r="G13" s="126">
        <f>Tabla3[[#This Row],[%]]+Tabla3[[#This Row],[Politica de Ventas]]</f>
        <v>0.12570000000000001</v>
      </c>
      <c r="H13" s="13"/>
    </row>
    <row r="14" spans="1:8" ht="15.75" x14ac:dyDescent="0.25">
      <c r="A14" s="13"/>
      <c r="B14" s="121" t="s">
        <v>105</v>
      </c>
      <c r="C14" s="122">
        <f>Tabla7VentasAnual[Año 3]</f>
        <v>369002633.41778928</v>
      </c>
      <c r="D14" s="123">
        <v>2026</v>
      </c>
      <c r="E14" s="124">
        <v>8.8499999999999995E-2</v>
      </c>
      <c r="F14" s="125">
        <v>0.05</v>
      </c>
      <c r="G14" s="126">
        <f>Tabla3[[#This Row],[%]]+Tabla3[[#This Row],[Politica de Ventas]]</f>
        <v>0.13850000000000001</v>
      </c>
      <c r="H14" s="13"/>
    </row>
    <row r="15" spans="1:8" ht="15.75" x14ac:dyDescent="0.25">
      <c r="A15" s="13"/>
      <c r="B15" s="121" t="s">
        <v>106</v>
      </c>
      <c r="C15" s="122">
        <f>Tabla7VentasAnual[Año 4]</f>
        <v>422471115.00002694</v>
      </c>
      <c r="D15" s="123">
        <v>2027</v>
      </c>
      <c r="E15" s="124">
        <v>9.4899999999999998E-2</v>
      </c>
      <c r="F15" s="125">
        <v>0.05</v>
      </c>
      <c r="G15" s="126">
        <f>Tabla3[[#This Row],[%]]+Tabla3[[#This Row],[Politica de Ventas]]</f>
        <v>0.1449</v>
      </c>
      <c r="H15" s="13"/>
    </row>
    <row r="16" spans="1:8" ht="15.75" x14ac:dyDescent="0.25">
      <c r="A16" s="13"/>
      <c r="B16" s="127" t="s">
        <v>107</v>
      </c>
      <c r="C16" s="128">
        <f>Tabla7VentasAnual[Año 5]</f>
        <v>480645387.53553063</v>
      </c>
      <c r="D16" s="129">
        <v>2028</v>
      </c>
      <c r="E16" s="130">
        <v>8.77E-2</v>
      </c>
      <c r="F16" s="125">
        <v>0.05</v>
      </c>
      <c r="G16" s="131">
        <f>Tabla3[[#This Row],[%]]+Tabla3[[#This Row],[Politica de Ventas]]</f>
        <v>0.13769999999999999</v>
      </c>
      <c r="H16" s="13"/>
    </row>
    <row r="17" spans="1:8" ht="15.75" x14ac:dyDescent="0.25">
      <c r="A17" s="13"/>
      <c r="B17" s="13"/>
      <c r="C17" s="13"/>
      <c r="D17" s="13"/>
      <c r="E17" s="13"/>
      <c r="F17" s="13"/>
      <c r="G17" s="13"/>
      <c r="H17" s="13"/>
    </row>
    <row r="18" spans="1:8" ht="15.75" x14ac:dyDescent="0.25">
      <c r="A18" s="13"/>
      <c r="B18" s="13"/>
      <c r="C18" s="13"/>
      <c r="D18" s="13"/>
      <c r="E18" s="13"/>
      <c r="F18" s="13"/>
      <c r="G18" s="13"/>
      <c r="H18" s="13"/>
    </row>
    <row r="19" spans="1:8" ht="15.75" x14ac:dyDescent="0.25">
      <c r="C19" s="16">
        <v>2018</v>
      </c>
      <c r="D19" s="266">
        <v>3.18</v>
      </c>
    </row>
    <row r="20" spans="1:8" ht="15.75" x14ac:dyDescent="0.25">
      <c r="C20" s="16">
        <v>2019</v>
      </c>
      <c r="D20" s="266">
        <v>3.8</v>
      </c>
    </row>
    <row r="21" spans="1:8" ht="15.75" x14ac:dyDescent="0.25">
      <c r="C21" s="16">
        <v>2020</v>
      </c>
      <c r="D21" s="266">
        <v>1.1599999999999999</v>
      </c>
    </row>
    <row r="22" spans="1:8" ht="15.75" x14ac:dyDescent="0.25">
      <c r="C22" s="16">
        <v>2021</v>
      </c>
      <c r="D22" s="266">
        <v>5.62</v>
      </c>
    </row>
    <row r="23" spans="1:8" ht="15.75" x14ac:dyDescent="0.25">
      <c r="C23" s="16">
        <v>2022</v>
      </c>
      <c r="D23" s="266">
        <v>13.12</v>
      </c>
    </row>
    <row r="24" spans="1:8" ht="15.75" x14ac:dyDescent="0.25">
      <c r="C24" s="265">
        <v>2023</v>
      </c>
      <c r="D24" s="267">
        <v>10.99</v>
      </c>
    </row>
    <row r="25" spans="1:8" ht="15.75" x14ac:dyDescent="0.25">
      <c r="C25" s="265">
        <v>2024</v>
      </c>
      <c r="D25" s="267">
        <f>AVERAGE(D20:D24)</f>
        <v>6.9379999999999997</v>
      </c>
    </row>
    <row r="26" spans="1:8" ht="15.75" x14ac:dyDescent="0.25">
      <c r="C26" s="265">
        <v>2025</v>
      </c>
      <c r="D26" s="267">
        <f t="shared" ref="D26:D29" si="0">AVERAGE(D21:D25)</f>
        <v>7.5656000000000008</v>
      </c>
    </row>
    <row r="27" spans="1:8" ht="15.75" x14ac:dyDescent="0.25">
      <c r="C27" s="265">
        <v>2026</v>
      </c>
      <c r="D27" s="267">
        <f t="shared" si="0"/>
        <v>8.8467200000000012</v>
      </c>
    </row>
    <row r="28" spans="1:8" ht="15.75" x14ac:dyDescent="0.25">
      <c r="C28" s="265">
        <v>2027</v>
      </c>
      <c r="D28" s="267">
        <f t="shared" si="0"/>
        <v>9.4920639999999992</v>
      </c>
    </row>
    <row r="29" spans="1:8" ht="15.75" x14ac:dyDescent="0.25">
      <c r="C29" s="265">
        <v>2028</v>
      </c>
      <c r="D29" s="267">
        <f t="shared" si="0"/>
        <v>8.7664768000000013</v>
      </c>
    </row>
  </sheetData>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U15"/>
  <sheetViews>
    <sheetView showGridLines="0" workbookViewId="0">
      <selection activeCell="C10" sqref="C10"/>
    </sheetView>
  </sheetViews>
  <sheetFormatPr baseColWidth="10" defaultColWidth="9.140625" defaultRowHeight="15" x14ac:dyDescent="0.25"/>
  <cols>
    <col min="1" max="1" width="9.140625" style="1"/>
    <col min="2" max="2" width="19.28515625" style="1" bestFit="1" customWidth="1"/>
    <col min="3" max="3" width="16.5703125" style="1" bestFit="1" customWidth="1"/>
    <col min="4" max="4" width="14.7109375" style="1" bestFit="1" customWidth="1"/>
    <col min="5" max="5" width="16.5703125" style="1" bestFit="1" customWidth="1"/>
    <col min="6" max="6" width="17.85546875" style="1" bestFit="1" customWidth="1"/>
    <col min="7" max="7" width="16.5703125" style="1" bestFit="1" customWidth="1"/>
    <col min="8" max="8" width="15.28515625" style="1" bestFit="1" customWidth="1"/>
    <col min="9" max="9" width="33.5703125" style="1" bestFit="1" customWidth="1"/>
    <col min="10" max="10" width="18.7109375" style="1" bestFit="1" customWidth="1"/>
    <col min="11" max="11" width="9.140625" style="1"/>
    <col min="12" max="13" width="13.5703125" style="1" bestFit="1" customWidth="1"/>
    <col min="14" max="16" width="14.7109375" style="1" bestFit="1" customWidth="1"/>
    <col min="17" max="17" width="15.5703125" style="1" bestFit="1" customWidth="1"/>
    <col min="18" max="18" width="14.7109375" style="1" bestFit="1" customWidth="1"/>
    <col min="19" max="19" width="13.5703125" style="1" bestFit="1" customWidth="1"/>
    <col min="20" max="20" width="16.5703125" style="1" bestFit="1" customWidth="1"/>
    <col min="21" max="16384" width="9.140625" style="1"/>
  </cols>
  <sheetData>
    <row r="1" spans="1:21" ht="15.75" x14ac:dyDescent="0.25">
      <c r="A1" s="15"/>
      <c r="B1" s="15"/>
      <c r="C1" s="15"/>
      <c r="D1" s="15"/>
      <c r="E1" s="15"/>
      <c r="F1" s="15"/>
      <c r="G1" s="15"/>
      <c r="H1" s="15"/>
      <c r="I1" s="15"/>
      <c r="J1" s="15"/>
      <c r="K1" s="15"/>
      <c r="L1" s="15"/>
      <c r="M1" s="15"/>
      <c r="N1" s="15"/>
      <c r="O1" s="15"/>
      <c r="P1" s="15"/>
      <c r="Q1" s="15"/>
      <c r="R1" s="15"/>
      <c r="S1" s="15"/>
      <c r="T1" s="15"/>
      <c r="U1" s="15"/>
    </row>
    <row r="2" spans="1:21" ht="15.75" x14ac:dyDescent="0.25">
      <c r="A2" s="15"/>
      <c r="B2" s="19" t="s">
        <v>108</v>
      </c>
      <c r="C2" s="15"/>
      <c r="D2" s="15"/>
      <c r="E2" s="15"/>
      <c r="F2" s="15"/>
      <c r="G2" s="15"/>
      <c r="H2" s="15"/>
      <c r="I2" s="15"/>
      <c r="J2" s="15"/>
      <c r="K2" s="15"/>
      <c r="L2" s="15"/>
      <c r="M2" s="15"/>
      <c r="N2" s="15"/>
      <c r="O2" s="15"/>
      <c r="P2" s="15"/>
      <c r="Q2" s="15"/>
      <c r="R2" s="15"/>
      <c r="S2" s="15"/>
      <c r="T2" s="15"/>
      <c r="U2" s="15"/>
    </row>
    <row r="3" spans="1:21" ht="15.75" x14ac:dyDescent="0.25">
      <c r="A3" s="15"/>
      <c r="B3" s="19" t="s">
        <v>52</v>
      </c>
      <c r="C3" s="15"/>
      <c r="D3" s="15"/>
      <c r="E3" s="15"/>
      <c r="F3" s="15"/>
      <c r="G3" s="15"/>
      <c r="H3" s="15"/>
      <c r="I3" s="15"/>
      <c r="J3" s="15"/>
      <c r="K3" s="15"/>
      <c r="L3" s="15"/>
      <c r="M3" s="15"/>
      <c r="N3" s="15"/>
      <c r="O3" s="15"/>
      <c r="P3" s="15"/>
      <c r="Q3" s="15"/>
      <c r="R3" s="15"/>
      <c r="S3" s="15"/>
      <c r="T3" s="15"/>
      <c r="U3" s="15"/>
    </row>
    <row r="4" spans="1:21" ht="15.75" x14ac:dyDescent="0.25">
      <c r="A4" s="15"/>
      <c r="B4" s="19"/>
      <c r="C4" s="15"/>
      <c r="D4" s="15"/>
      <c r="E4" s="15"/>
      <c r="F4" s="15"/>
      <c r="G4" s="15"/>
      <c r="H4" s="15"/>
      <c r="I4" s="15"/>
      <c r="J4" s="15"/>
      <c r="K4" s="15"/>
      <c r="L4" s="146" t="s">
        <v>109</v>
      </c>
      <c r="M4" s="106" t="s">
        <v>110</v>
      </c>
      <c r="N4" s="106" t="s">
        <v>111</v>
      </c>
      <c r="O4" s="106" t="s">
        <v>112</v>
      </c>
      <c r="P4" s="106" t="s">
        <v>113</v>
      </c>
      <c r="Q4" s="105" t="s">
        <v>114</v>
      </c>
      <c r="R4" s="106" t="s">
        <v>115</v>
      </c>
      <c r="S4" s="106" t="s">
        <v>116</v>
      </c>
      <c r="T4" s="147" t="s">
        <v>66</v>
      </c>
      <c r="U4" s="15"/>
    </row>
    <row r="5" spans="1:21" ht="31.5" x14ac:dyDescent="0.25">
      <c r="A5" s="15"/>
      <c r="B5" s="97" t="s">
        <v>117</v>
      </c>
      <c r="C5" s="98" t="s">
        <v>118</v>
      </c>
      <c r="D5" s="98" t="s">
        <v>119</v>
      </c>
      <c r="E5" s="98" t="s">
        <v>120</v>
      </c>
      <c r="F5" s="98" t="s">
        <v>121</v>
      </c>
      <c r="G5" s="98" t="s">
        <v>122</v>
      </c>
      <c r="H5" s="141" t="s">
        <v>123</v>
      </c>
      <c r="I5" s="98" t="s">
        <v>124</v>
      </c>
      <c r="J5" s="97" t="s">
        <v>125</v>
      </c>
      <c r="K5" s="15"/>
      <c r="L5" s="148">
        <v>0.03</v>
      </c>
      <c r="M5" s="149">
        <v>0.02</v>
      </c>
      <c r="N5" s="149">
        <v>8.5000000000000006E-2</v>
      </c>
      <c r="O5" s="149">
        <v>8.5000000000000006E-2</v>
      </c>
      <c r="P5" s="149">
        <v>8.3299999999999999E-2</v>
      </c>
      <c r="Q5" s="149">
        <v>0.01</v>
      </c>
      <c r="R5" s="149">
        <v>0.04</v>
      </c>
      <c r="S5" s="149">
        <v>5.2199999999999998E-3</v>
      </c>
      <c r="T5" s="150"/>
      <c r="U5" s="15"/>
    </row>
    <row r="6" spans="1:21" ht="15.75" x14ac:dyDescent="0.25">
      <c r="A6" s="15"/>
      <c r="B6" s="137" t="s">
        <v>126</v>
      </c>
      <c r="C6" s="139">
        <v>2600000</v>
      </c>
      <c r="D6" s="139">
        <v>0</v>
      </c>
      <c r="E6" s="139">
        <f>Tabla8Nomina[[#This Row],[Valor
Sueldo]]+Tabla8Nomina[[#This Row],[Auxilio de
transporte]]</f>
        <v>2600000</v>
      </c>
      <c r="F6" s="139">
        <f>(Tabla8Nomina[[#This Row],[Valor
Sueldo]]*4%)*2</f>
        <v>208000</v>
      </c>
      <c r="G6" s="139">
        <f>Tabla8Nomina[[#This Row],[Total
devengado]]-Tabla8Nomina[[#This Row],[Deducciones
(Salud-Pensión)]]</f>
        <v>2392000</v>
      </c>
      <c r="H6" s="140">
        <f>SUM(Tabla9[[#This Row],[ICBF]:[Int. Cesantías]])</f>
        <v>790745.8</v>
      </c>
      <c r="I6" s="139">
        <f>Tabla9[[#This Row],[Salud]]+Tabla9[[#This Row],[Pensión]]+Tabla9[[#This Row],[CCF]]+Tabla9[[#This Row],[ARL]]</f>
        <v>559572</v>
      </c>
      <c r="J6" s="139">
        <f>Tabla8Nomina[[#This Row],[Total
Nómina]]+Tabla8Nomina[[#This Row],[Componente
Prestacional]]+Tabla8Nomina[[#This Row],[Componente seg. social (Pensión)
y parafiscales (ARL y CCF)]]</f>
        <v>3742317.8</v>
      </c>
      <c r="K6" s="15"/>
      <c r="L6" s="145">
        <f>$L$5*Tabla8Nomina[[#This Row],[Total
devengado]]</f>
        <v>78000</v>
      </c>
      <c r="M6" s="139">
        <f>$M$5*Tabla8Nomina[[#This Row],[Total
devengado]]</f>
        <v>52000</v>
      </c>
      <c r="N6" s="139">
        <f>$N$5*Tabla8Nomina[[#This Row],[Total
devengado]]</f>
        <v>221000.00000000003</v>
      </c>
      <c r="O6" s="139">
        <f>$O$5*Tabla8Nomina[[#This Row],[Total
devengado]]</f>
        <v>221000.00000000003</v>
      </c>
      <c r="P6" s="139">
        <f>$P$5*Tabla8Nomina[[#This Row],[Total
devengado]]</f>
        <v>216580</v>
      </c>
      <c r="Q6" s="139">
        <f>$Q$5*Tabla9[[#This Row],[Cesantías]]</f>
        <v>2165.8000000000002</v>
      </c>
      <c r="R6" s="139">
        <f>$R$5*Tabla8Nomina[[#This Row],[Total
devengado]]</f>
        <v>104000</v>
      </c>
      <c r="S6" s="139">
        <f>$S$5*Tabla8Nomina[[#This Row],[Total
devengado]]</f>
        <v>13572</v>
      </c>
      <c r="T6" s="140">
        <f>SUM(Tabla9[[#This Row],[ICBF]:[ARL]])</f>
        <v>908317.8</v>
      </c>
      <c r="U6" s="15"/>
    </row>
    <row r="7" spans="1:21" ht="15.75" x14ac:dyDescent="0.25">
      <c r="A7" s="15"/>
      <c r="B7" s="137" t="s">
        <v>127</v>
      </c>
      <c r="C7" s="139">
        <v>2000000</v>
      </c>
      <c r="D7" s="139">
        <v>0</v>
      </c>
      <c r="E7" s="139">
        <f>Tabla8Nomina[[#This Row],[Valor
Sueldo]]+Tabla8Nomina[[#This Row],[Auxilio de
transporte]]</f>
        <v>2000000</v>
      </c>
      <c r="F7" s="139">
        <f>(Tabla8Nomina[[#This Row],[Valor
Sueldo]]*4%)*2</f>
        <v>160000</v>
      </c>
      <c r="G7" s="139">
        <f>Tabla8Nomina[[#This Row],[Total
devengado]]-Tabla8Nomina[[#This Row],[Deducciones
(Salud-Pensión)]]</f>
        <v>1840000</v>
      </c>
      <c r="H7" s="140">
        <f>SUM(Tabla9[[#This Row],[ICBF]:[Int. Cesantías]])</f>
        <v>608266</v>
      </c>
      <c r="I7" s="139">
        <f>Tabla9[[#This Row],[Salud]]+Tabla9[[#This Row],[Pensión]]+Tabla9[[#This Row],[CCF]]+Tabla9[[#This Row],[ARL]]</f>
        <v>430440</v>
      </c>
      <c r="J7" s="139">
        <f>Tabla8Nomina[[#This Row],[Total
Nómina]]+Tabla8Nomina[[#This Row],[Componente
Prestacional]]+Tabla8Nomina[[#This Row],[Componente seg. social (Pensión)
y parafiscales (ARL y CCF)]]</f>
        <v>2878706</v>
      </c>
      <c r="K7" s="15"/>
      <c r="L7" s="145">
        <f>$L$5*Tabla8Nomina[[#This Row],[Total
devengado]]</f>
        <v>60000</v>
      </c>
      <c r="M7" s="139">
        <f>$M$5*Tabla8Nomina[[#This Row],[Total
devengado]]</f>
        <v>40000</v>
      </c>
      <c r="N7" s="139">
        <f>$N$5*Tabla8Nomina[[#This Row],[Total
devengado]]</f>
        <v>170000</v>
      </c>
      <c r="O7" s="139">
        <f>$O$5*Tabla8Nomina[[#This Row],[Total
devengado]]</f>
        <v>170000</v>
      </c>
      <c r="P7" s="139">
        <f>$P$5*Tabla8Nomina[[#This Row],[Total
devengado]]</f>
        <v>166600</v>
      </c>
      <c r="Q7" s="139">
        <f>$Q$5*Tabla9[[#This Row],[Cesantías]]</f>
        <v>1666</v>
      </c>
      <c r="R7" s="139">
        <f>$R$5*Tabla8Nomina[[#This Row],[Total
devengado]]</f>
        <v>80000</v>
      </c>
      <c r="S7" s="139">
        <f>$S$5*Tabla8Nomina[[#This Row],[Total
devengado]]</f>
        <v>10440</v>
      </c>
      <c r="T7" s="140">
        <f>SUM(Tabla9[[#This Row],[ICBF]:[ARL]])</f>
        <v>698706</v>
      </c>
      <c r="U7" s="15"/>
    </row>
    <row r="8" spans="1:21" ht="15.75" x14ac:dyDescent="0.25">
      <c r="A8" s="15"/>
      <c r="B8" s="137" t="s">
        <v>128</v>
      </c>
      <c r="C8" s="139">
        <v>1160000</v>
      </c>
      <c r="D8" s="139">
        <v>140600</v>
      </c>
      <c r="E8" s="139">
        <f>Tabla8Nomina[[#This Row],[Valor
Sueldo]]+Tabla8Nomina[[#This Row],[Auxilio de
transporte]]</f>
        <v>1300600</v>
      </c>
      <c r="F8" s="139">
        <f>(Tabla8Nomina[[#This Row],[Valor
Sueldo]]*4%)*2</f>
        <v>92800</v>
      </c>
      <c r="G8" s="139">
        <f>Tabla8Nomina[[#This Row],[Total
devengado]]-Tabla8Nomina[[#This Row],[Deducciones
(Salud-Pensión)]]</f>
        <v>1207800</v>
      </c>
      <c r="H8" s="140">
        <f>SUM(Tabla9[[#This Row],[ICBF]:[Int. Cesantías]])</f>
        <v>395555.3798</v>
      </c>
      <c r="I8" s="139">
        <f>Tabla9[[#This Row],[Salud]]+Tabla9[[#This Row],[Pensión]]+Tabla9[[#This Row],[CCF]]+Tabla9[[#This Row],[ARL]]</f>
        <v>279915.13199999998</v>
      </c>
      <c r="J8" s="139">
        <f>Tabla8Nomina[[#This Row],[Total
Nómina]]+Tabla8Nomina[[#This Row],[Componente
Prestacional]]+Tabla8Nomina[[#This Row],[Componente seg. social (Pensión)
y parafiscales (ARL y CCF)]]</f>
        <v>1883270.5118</v>
      </c>
      <c r="K8" s="15"/>
      <c r="L8" s="145">
        <f>$L$5*Tabla8Nomina[[#This Row],[Total
devengado]]</f>
        <v>39018</v>
      </c>
      <c r="M8" s="139">
        <f>$M$5*Tabla8Nomina[[#This Row],[Total
devengado]]</f>
        <v>26012</v>
      </c>
      <c r="N8" s="139">
        <f>$N$5*Tabla8Nomina[[#This Row],[Total
devengado]]</f>
        <v>110551.00000000001</v>
      </c>
      <c r="O8" s="139">
        <f>$O$5*Tabla8Nomina[[#This Row],[Total
devengado]]</f>
        <v>110551.00000000001</v>
      </c>
      <c r="P8" s="139">
        <f>$P$5*Tabla8Nomina[[#This Row],[Total
devengado]]</f>
        <v>108339.98</v>
      </c>
      <c r="Q8" s="139">
        <f>$Q$5*Tabla9[[#This Row],[Cesantías]]</f>
        <v>1083.3997999999999</v>
      </c>
      <c r="R8" s="139">
        <f>$R$5*Tabla8Nomina[[#This Row],[Total
devengado]]</f>
        <v>52024</v>
      </c>
      <c r="S8" s="139">
        <f>$S$5*Tabla8Nomina[[#This Row],[Total
devengado]]</f>
        <v>6789.1319999999996</v>
      </c>
      <c r="T8" s="140">
        <f>SUM(Tabla9[[#This Row],[ICBF]:[ARL]])</f>
        <v>454368.51179999998</v>
      </c>
      <c r="U8" s="15"/>
    </row>
    <row r="9" spans="1:21" ht="15.75" x14ac:dyDescent="0.25">
      <c r="A9" s="15"/>
      <c r="B9" s="137" t="s">
        <v>129</v>
      </c>
      <c r="C9" s="139">
        <v>1160000</v>
      </c>
      <c r="D9" s="139">
        <v>140600</v>
      </c>
      <c r="E9" s="139">
        <f>Tabla8Nomina[[#This Row],[Valor
Sueldo]]+Tabla8Nomina[[#This Row],[Auxilio de
transporte]]</f>
        <v>1300600</v>
      </c>
      <c r="F9" s="139">
        <f>(Tabla8Nomina[[#This Row],[Valor
Sueldo]]*4%)*2</f>
        <v>92800</v>
      </c>
      <c r="G9" s="139">
        <f>Tabla8Nomina[[#This Row],[Total
devengado]]-Tabla8Nomina[[#This Row],[Deducciones
(Salud-Pensión)]]</f>
        <v>1207800</v>
      </c>
      <c r="H9" s="140">
        <f>SUM(Tabla9[[#This Row],[ICBF]:[Int. Cesantías]])</f>
        <v>395555.3798</v>
      </c>
      <c r="I9" s="139">
        <f>Tabla9[[#This Row],[Salud]]+Tabla9[[#This Row],[Pensión]]+Tabla9[[#This Row],[CCF]]+Tabla9[[#This Row],[ARL]]</f>
        <v>279915.13199999998</v>
      </c>
      <c r="J9" s="139">
        <f>Tabla8Nomina[[#This Row],[Total
Nómina]]+Tabla8Nomina[[#This Row],[Componente
Prestacional]]+Tabla8Nomina[[#This Row],[Componente seg. social (Pensión)
y parafiscales (ARL y CCF)]]</f>
        <v>1883270.5118</v>
      </c>
      <c r="K9" s="15"/>
      <c r="L9" s="145">
        <f>$L$5*Tabla8Nomina[[#This Row],[Total
devengado]]</f>
        <v>39018</v>
      </c>
      <c r="M9" s="139">
        <f>$M$5*Tabla8Nomina[[#This Row],[Total
devengado]]</f>
        <v>26012</v>
      </c>
      <c r="N9" s="139">
        <f>$N$5*Tabla8Nomina[[#This Row],[Total
devengado]]</f>
        <v>110551.00000000001</v>
      </c>
      <c r="O9" s="139">
        <f>$O$5*Tabla8Nomina[[#This Row],[Total
devengado]]</f>
        <v>110551.00000000001</v>
      </c>
      <c r="P9" s="139">
        <f>$P$5*Tabla8Nomina[[#This Row],[Total
devengado]]</f>
        <v>108339.98</v>
      </c>
      <c r="Q9" s="139">
        <f>$Q$5*Tabla9[[#This Row],[Cesantías]]</f>
        <v>1083.3997999999999</v>
      </c>
      <c r="R9" s="139">
        <f>$R$5*Tabla8Nomina[[#This Row],[Total
devengado]]</f>
        <v>52024</v>
      </c>
      <c r="S9" s="139">
        <f>$S$5*Tabla8Nomina[[#This Row],[Total
devengado]]</f>
        <v>6789.1319999999996</v>
      </c>
      <c r="T9" s="140">
        <f>SUM(Tabla9[[#This Row],[ICBF]:[ARL]])</f>
        <v>454368.51179999998</v>
      </c>
      <c r="U9" s="15"/>
    </row>
    <row r="10" spans="1:21" ht="15.75" x14ac:dyDescent="0.25">
      <c r="A10" s="15"/>
      <c r="B10" s="137" t="s">
        <v>130</v>
      </c>
      <c r="C10" s="139">
        <v>400000</v>
      </c>
      <c r="D10" s="139">
        <v>140600</v>
      </c>
      <c r="E10" s="139">
        <f>Tabla8Nomina[[#This Row],[Valor
Sueldo]]+Tabla8Nomina[[#This Row],[Auxilio de
transporte]]</f>
        <v>540600</v>
      </c>
      <c r="F10" s="139">
        <f>(Tabla8Nomina[[#This Row],[Valor
Sueldo]]*4%)*2</f>
        <v>32000</v>
      </c>
      <c r="G10" s="139">
        <f>Tabla8Nomina[[#This Row],[Total
devengado]]-Tabla8Nomina[[#This Row],[Deducciones
(Salud-Pensión)]]</f>
        <v>508600</v>
      </c>
      <c r="H10" s="140">
        <f>SUM(Tabla9[[#This Row],[ICBF]:[Int. Cesantías]])</f>
        <v>164414.29979999998</v>
      </c>
      <c r="I10" s="139">
        <f>Tabla9[[#This Row],[Salud]]+Tabla9[[#This Row],[Pensión]]+Tabla9[[#This Row],[CCF]]+Tabla9[[#This Row],[ARL]]</f>
        <v>116347.932</v>
      </c>
      <c r="J10" s="139">
        <f>Tabla8Nomina[[#This Row],[Total
Nómina]]+Tabla8Nomina[[#This Row],[Componente
Prestacional]]+Tabla8Nomina[[#This Row],[Componente seg. social (Pensión)
y parafiscales (ARL y CCF)]]</f>
        <v>789362.23179999995</v>
      </c>
      <c r="K10" s="15"/>
      <c r="L10" s="145">
        <f>$L$5*Tabla8Nomina[[#This Row],[Total
devengado]]</f>
        <v>16218</v>
      </c>
      <c r="M10" s="139">
        <f>$M$5*Tabla8Nomina[[#This Row],[Total
devengado]]</f>
        <v>10812</v>
      </c>
      <c r="N10" s="139">
        <f>$N$5*Tabla8Nomina[[#This Row],[Total
devengado]]</f>
        <v>45951</v>
      </c>
      <c r="O10" s="139">
        <f>$O$5*Tabla8Nomina[[#This Row],[Total
devengado]]</f>
        <v>45951</v>
      </c>
      <c r="P10" s="139">
        <f>$P$5*Tabla8Nomina[[#This Row],[Total
devengado]]</f>
        <v>45031.979999999996</v>
      </c>
      <c r="Q10" s="139">
        <f>$Q$5*Tabla9[[#This Row],[Cesantías]]</f>
        <v>450.31979999999999</v>
      </c>
      <c r="R10" s="139">
        <f>$R$5*Tabla8Nomina[[#This Row],[Total
devengado]]</f>
        <v>21624</v>
      </c>
      <c r="S10" s="139">
        <f>$S$5*Tabla8Nomina[[#This Row],[Total
devengado]]</f>
        <v>2821.9319999999998</v>
      </c>
      <c r="T10" s="140">
        <f>SUM(Tabla9[[#This Row],[ICBF]:[ARL]])</f>
        <v>188860.23179999998</v>
      </c>
      <c r="U10" s="15"/>
    </row>
    <row r="11" spans="1:21" ht="15.75" x14ac:dyDescent="0.25">
      <c r="A11" s="15"/>
      <c r="B11" s="15"/>
      <c r="C11" s="23"/>
      <c r="D11" s="23"/>
      <c r="E11" s="23"/>
      <c r="F11" s="23"/>
      <c r="G11" s="23"/>
      <c r="H11" s="23"/>
      <c r="I11" s="142" t="s">
        <v>66</v>
      </c>
      <c r="J11" s="142">
        <f>SUM(J6:J10)</f>
        <v>11176927.055399999</v>
      </c>
      <c r="K11" s="15"/>
      <c r="L11" s="151" t="s">
        <v>66</v>
      </c>
      <c r="M11" s="152"/>
      <c r="N11" s="152"/>
      <c r="O11" s="152"/>
      <c r="P11" s="152"/>
      <c r="Q11" s="152"/>
      <c r="R11" s="152"/>
      <c r="S11" s="152"/>
      <c r="T11" s="153">
        <f>SUBTOTAL(109,Tabla9[Total])</f>
        <v>2704621.0554</v>
      </c>
      <c r="U11" s="15"/>
    </row>
    <row r="12" spans="1:21" ht="15.75" x14ac:dyDescent="0.25">
      <c r="A12" s="15"/>
      <c r="B12" s="15"/>
      <c r="C12" s="23"/>
      <c r="D12" s="23"/>
      <c r="E12" s="23"/>
      <c r="F12" s="23"/>
      <c r="G12" s="23"/>
      <c r="H12" s="23"/>
      <c r="I12" s="142" t="s">
        <v>131</v>
      </c>
      <c r="J12" s="142">
        <f>J11*4</f>
        <v>44707708.221599996</v>
      </c>
      <c r="K12" s="15"/>
      <c r="L12" s="15"/>
      <c r="M12" s="15"/>
      <c r="N12" s="15"/>
      <c r="O12" s="15"/>
      <c r="P12" s="15"/>
      <c r="Q12" s="15"/>
      <c r="R12" s="15"/>
      <c r="S12" s="15"/>
      <c r="T12" s="15"/>
      <c r="U12" s="15"/>
    </row>
    <row r="13" spans="1:21" ht="15.75" x14ac:dyDescent="0.25">
      <c r="A13" s="15"/>
      <c r="B13" s="15"/>
      <c r="C13" s="23"/>
      <c r="D13" s="23"/>
      <c r="E13" s="23"/>
      <c r="F13" s="23"/>
      <c r="G13" s="23"/>
      <c r="H13" s="23"/>
      <c r="I13" s="142" t="s">
        <v>132</v>
      </c>
      <c r="J13" s="142">
        <f>J11*12</f>
        <v>134123124.66479999</v>
      </c>
      <c r="K13" s="15"/>
      <c r="L13" s="15"/>
      <c r="M13" s="15"/>
      <c r="N13" s="15"/>
      <c r="O13" s="15"/>
      <c r="P13" s="15"/>
      <c r="Q13" s="15"/>
      <c r="R13" s="15"/>
      <c r="S13" s="15"/>
      <c r="T13" s="15"/>
      <c r="U13" s="15"/>
    </row>
    <row r="14" spans="1:21" ht="15.75" x14ac:dyDescent="0.25">
      <c r="A14" s="15"/>
      <c r="B14" s="15"/>
      <c r="C14" s="15"/>
      <c r="D14" s="15"/>
      <c r="E14" s="15"/>
      <c r="F14" s="15"/>
      <c r="G14" s="15"/>
      <c r="H14" s="15"/>
      <c r="I14" s="15"/>
      <c r="J14" s="15"/>
      <c r="K14" s="15"/>
      <c r="L14" s="15"/>
      <c r="M14" s="15"/>
      <c r="N14" s="15"/>
      <c r="O14" s="15"/>
      <c r="P14" s="15"/>
      <c r="Q14" s="15"/>
      <c r="R14" s="15"/>
      <c r="S14" s="15"/>
      <c r="T14" s="15"/>
      <c r="U14" s="15"/>
    </row>
    <row r="15" spans="1:21" ht="15.75" x14ac:dyDescent="0.25">
      <c r="A15" s="15"/>
      <c r="B15" s="15"/>
      <c r="C15" s="15"/>
      <c r="D15" s="15"/>
      <c r="E15" s="15"/>
      <c r="F15" s="15"/>
      <c r="G15" s="15"/>
      <c r="H15" s="15"/>
      <c r="I15" s="15"/>
      <c r="J15" s="15"/>
      <c r="K15" s="15"/>
      <c r="L15" s="15"/>
      <c r="M15" s="15"/>
      <c r="N15" s="15"/>
      <c r="O15" s="15"/>
      <c r="P15" s="15"/>
      <c r="Q15" s="15"/>
      <c r="R15" s="15"/>
      <c r="S15" s="15"/>
      <c r="T15" s="15"/>
      <c r="U15" s="15"/>
    </row>
  </sheetData>
  <pageMargins left="0.7" right="0.7" top="0.75" bottom="0.75" header="0.3" footer="0.3"/>
  <legacyDrawing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23"/>
  <sheetViews>
    <sheetView showGridLines="0" topLeftCell="A19" zoomScale="70" zoomScaleNormal="70" workbookViewId="0">
      <selection activeCell="D25" sqref="D25"/>
    </sheetView>
  </sheetViews>
  <sheetFormatPr baseColWidth="10" defaultColWidth="11.42578125" defaultRowHeight="15" x14ac:dyDescent="0.25"/>
  <cols>
    <col min="1" max="1" width="11.42578125" style="1"/>
    <col min="2" max="2" width="27.42578125" style="5" customWidth="1"/>
    <col min="3" max="3" width="98.42578125" style="5" customWidth="1"/>
    <col min="4" max="4" width="12.7109375" style="2" bestFit="1" customWidth="1"/>
    <col min="5" max="6" width="17.42578125" style="2" bestFit="1" customWidth="1"/>
    <col min="7" max="16384" width="11.42578125" style="1"/>
  </cols>
  <sheetData>
    <row r="1" spans="1:12" ht="15.75" x14ac:dyDescent="0.25">
      <c r="A1" s="15"/>
      <c r="B1" s="12"/>
      <c r="C1" s="12"/>
      <c r="D1" s="20"/>
      <c r="E1" s="20"/>
      <c r="F1" s="20"/>
      <c r="G1" s="15"/>
      <c r="H1" s="15"/>
      <c r="I1" s="15"/>
      <c r="J1" s="15"/>
      <c r="K1" s="15"/>
      <c r="L1" s="15"/>
    </row>
    <row r="2" spans="1:12" ht="15.75" x14ac:dyDescent="0.25">
      <c r="A2" s="15"/>
      <c r="B2" s="14" t="s">
        <v>133</v>
      </c>
      <c r="C2" s="12"/>
      <c r="D2" s="20"/>
      <c r="E2" s="20"/>
      <c r="F2" s="20"/>
      <c r="G2" s="15"/>
      <c r="H2" s="15"/>
      <c r="I2" s="15"/>
      <c r="J2" s="15"/>
      <c r="K2" s="15"/>
      <c r="L2" s="15"/>
    </row>
    <row r="3" spans="1:12" ht="15.75" x14ac:dyDescent="0.25">
      <c r="A3" s="15"/>
      <c r="B3" s="14" t="s">
        <v>52</v>
      </c>
      <c r="C3" s="12"/>
      <c r="D3" s="20"/>
      <c r="E3" s="20"/>
      <c r="F3" s="20"/>
      <c r="G3" s="15"/>
      <c r="H3" s="15"/>
      <c r="I3" s="15"/>
      <c r="J3" s="15"/>
      <c r="K3" s="15"/>
      <c r="L3" s="15"/>
    </row>
    <row r="4" spans="1:12" ht="15.75" x14ac:dyDescent="0.25">
      <c r="A4" s="15"/>
      <c r="B4" s="12"/>
      <c r="C4" s="12"/>
      <c r="D4" s="20"/>
      <c r="E4" s="20"/>
      <c r="F4" s="20"/>
      <c r="G4" s="15"/>
      <c r="H4" s="15"/>
      <c r="I4" s="15"/>
      <c r="J4" s="15"/>
      <c r="K4" s="15"/>
      <c r="L4" s="15"/>
    </row>
    <row r="5" spans="1:12" ht="31.5" x14ac:dyDescent="0.25">
      <c r="A5" s="15"/>
      <c r="B5" s="12" t="s">
        <v>134</v>
      </c>
      <c r="C5" s="12"/>
      <c r="D5" s="20"/>
      <c r="E5" s="20"/>
      <c r="F5" s="20"/>
      <c r="G5" s="15"/>
      <c r="H5" s="15"/>
      <c r="I5" s="15"/>
      <c r="J5" s="15"/>
      <c r="K5" s="15"/>
      <c r="L5" s="15"/>
    </row>
    <row r="6" spans="1:12" ht="15.75" x14ac:dyDescent="0.25">
      <c r="A6" s="15"/>
      <c r="B6" s="98" t="s">
        <v>135</v>
      </c>
      <c r="C6" s="98" t="s">
        <v>136</v>
      </c>
      <c r="D6" s="154" t="s">
        <v>137</v>
      </c>
      <c r="E6" s="154" t="s">
        <v>138</v>
      </c>
      <c r="F6" s="154" t="s">
        <v>125</v>
      </c>
      <c r="G6" s="15"/>
      <c r="H6" s="15"/>
      <c r="I6" s="15"/>
      <c r="J6" s="15"/>
      <c r="K6" s="15"/>
      <c r="L6" s="15"/>
    </row>
    <row r="7" spans="1:12" ht="15.75" x14ac:dyDescent="0.25">
      <c r="A7" s="15"/>
      <c r="B7" s="138" t="s">
        <v>139</v>
      </c>
      <c r="C7" s="157" t="s">
        <v>140</v>
      </c>
      <c r="D7" s="155">
        <v>2</v>
      </c>
      <c r="E7" s="139">
        <v>4600000</v>
      </c>
      <c r="F7" s="139">
        <f>Tabla10Maquinaria[[#This Row],[Cantidad]]*Tabla10Maquinaria[[#This Row],[Costo]]</f>
        <v>9200000</v>
      </c>
      <c r="G7" s="15"/>
      <c r="H7" s="15"/>
      <c r="I7" s="15"/>
      <c r="J7" s="15"/>
      <c r="K7" s="15"/>
      <c r="L7" s="15"/>
    </row>
    <row r="8" spans="1:12" ht="31.5" x14ac:dyDescent="0.25">
      <c r="A8" s="15"/>
      <c r="B8" s="157" t="s">
        <v>141</v>
      </c>
      <c r="C8" s="138" t="s">
        <v>142</v>
      </c>
      <c r="D8" s="155">
        <v>1</v>
      </c>
      <c r="E8" s="139">
        <v>3200000</v>
      </c>
      <c r="F8" s="139">
        <f>Tabla10Maquinaria[[#This Row],[Cantidad]]*Tabla10Maquinaria[[#This Row],[Costo]]</f>
        <v>3200000</v>
      </c>
      <c r="G8" s="15"/>
      <c r="H8" s="15"/>
      <c r="I8" s="15"/>
      <c r="J8" s="15"/>
      <c r="K8" s="15"/>
      <c r="L8" s="15"/>
    </row>
    <row r="9" spans="1:12" ht="31.5" x14ac:dyDescent="0.25">
      <c r="A9" s="15"/>
      <c r="B9" s="157" t="s">
        <v>143</v>
      </c>
      <c r="C9" s="138" t="s">
        <v>144</v>
      </c>
      <c r="D9" s="155">
        <v>1</v>
      </c>
      <c r="E9" s="139">
        <v>2950000</v>
      </c>
      <c r="F9" s="139">
        <f>Tabla10Maquinaria[[#This Row],[Cantidad]]*Tabla10Maquinaria[[#This Row],[Costo]]</f>
        <v>2950000</v>
      </c>
      <c r="G9" s="15"/>
      <c r="H9" s="15"/>
      <c r="I9" s="15"/>
      <c r="J9" s="15"/>
      <c r="K9" s="15"/>
      <c r="L9" s="15"/>
    </row>
    <row r="10" spans="1:12" ht="15.75" x14ac:dyDescent="0.25">
      <c r="A10" s="15"/>
      <c r="B10" s="157" t="s">
        <v>145</v>
      </c>
      <c r="C10" s="138" t="s">
        <v>146</v>
      </c>
      <c r="D10" s="155">
        <v>1</v>
      </c>
      <c r="E10" s="139">
        <v>2750000</v>
      </c>
      <c r="F10" s="139">
        <f>Tabla10Maquinaria[[#This Row],[Cantidad]]*Tabla10Maquinaria[[#This Row],[Costo]]</f>
        <v>2750000</v>
      </c>
      <c r="G10" s="15"/>
      <c r="H10" s="15"/>
      <c r="I10" s="15"/>
      <c r="J10" s="15"/>
      <c r="K10" s="15"/>
      <c r="L10" s="15"/>
    </row>
    <row r="11" spans="1:12" ht="15.75" x14ac:dyDescent="0.25">
      <c r="A11" s="15"/>
      <c r="B11" s="156" t="s">
        <v>147</v>
      </c>
      <c r="C11" s="138" t="s">
        <v>148</v>
      </c>
      <c r="D11" s="155">
        <v>1</v>
      </c>
      <c r="E11" s="139">
        <v>2750000</v>
      </c>
      <c r="F11" s="139">
        <f>Tabla10Maquinaria[[#This Row],[Cantidad]]*Tabla10Maquinaria[[#This Row],[Costo]]</f>
        <v>2750000</v>
      </c>
      <c r="G11" s="15"/>
      <c r="H11" s="15"/>
      <c r="I11" s="15"/>
      <c r="J11" s="15"/>
      <c r="K11" s="15"/>
      <c r="L11" s="15"/>
    </row>
    <row r="12" spans="1:12" ht="15.75" x14ac:dyDescent="0.25">
      <c r="A12" s="15"/>
      <c r="B12" s="156" t="s">
        <v>149</v>
      </c>
      <c r="C12" s="138" t="s">
        <v>150</v>
      </c>
      <c r="D12" s="155">
        <v>2</v>
      </c>
      <c r="E12" s="139">
        <v>1500000</v>
      </c>
      <c r="F12" s="139">
        <f>Tabla10Maquinaria[[#This Row],[Cantidad]]*Tabla10Maquinaria[[#This Row],[Costo]]</f>
        <v>3000000</v>
      </c>
      <c r="G12" s="15"/>
      <c r="H12" s="15"/>
      <c r="I12" s="15"/>
      <c r="J12" s="15"/>
      <c r="K12" s="15"/>
      <c r="L12" s="15"/>
    </row>
    <row r="13" spans="1:12" ht="15.75" x14ac:dyDescent="0.25">
      <c r="A13" s="15"/>
      <c r="B13" s="157" t="s">
        <v>151</v>
      </c>
      <c r="C13" s="138" t="s">
        <v>152</v>
      </c>
      <c r="D13" s="155">
        <v>1</v>
      </c>
      <c r="E13" s="139">
        <v>4100000</v>
      </c>
      <c r="F13" s="139">
        <f>Tabla10Maquinaria[[#This Row],[Cantidad]]*Tabla10Maquinaria[[#This Row],[Costo]]</f>
        <v>4100000</v>
      </c>
      <c r="G13" s="15"/>
      <c r="H13" s="15"/>
      <c r="I13" s="15"/>
      <c r="J13" s="15"/>
      <c r="K13" s="15"/>
      <c r="L13" s="15"/>
    </row>
    <row r="14" spans="1:12" ht="15.75" x14ac:dyDescent="0.25">
      <c r="A14" s="15"/>
      <c r="B14" s="157" t="s">
        <v>153</v>
      </c>
      <c r="C14" s="138" t="s">
        <v>154</v>
      </c>
      <c r="D14" s="155">
        <v>1</v>
      </c>
      <c r="E14" s="139">
        <v>300000</v>
      </c>
      <c r="F14" s="139">
        <f>Tabla10Maquinaria[[#This Row],[Cantidad]]*Tabla10Maquinaria[[#This Row],[Costo]]</f>
        <v>300000</v>
      </c>
      <c r="G14" s="15"/>
      <c r="H14" s="15"/>
      <c r="I14" s="15"/>
      <c r="J14" s="15"/>
      <c r="K14" s="15"/>
      <c r="L14" s="15"/>
    </row>
    <row r="15" spans="1:12" ht="15.75" x14ac:dyDescent="0.25">
      <c r="A15" s="15"/>
      <c r="B15" s="157" t="s">
        <v>155</v>
      </c>
      <c r="C15" s="138" t="s">
        <v>156</v>
      </c>
      <c r="D15" s="155">
        <v>1</v>
      </c>
      <c r="E15" s="139">
        <v>3335000</v>
      </c>
      <c r="F15" s="139">
        <f>Tabla10Maquinaria[[#This Row],[Cantidad]]*Tabla10Maquinaria[[#This Row],[Costo]]</f>
        <v>3335000</v>
      </c>
      <c r="G15" s="15"/>
      <c r="H15" s="15"/>
      <c r="I15" s="15"/>
      <c r="J15" s="15"/>
      <c r="K15" s="15"/>
      <c r="L15" s="15"/>
    </row>
    <row r="16" spans="1:12" ht="15.75" x14ac:dyDescent="0.25">
      <c r="A16" s="15"/>
      <c r="B16" s="157" t="s">
        <v>157</v>
      </c>
      <c r="C16" s="138" t="s">
        <v>158</v>
      </c>
      <c r="D16" s="155">
        <v>1</v>
      </c>
      <c r="E16" s="139">
        <v>3220000</v>
      </c>
      <c r="F16" s="139">
        <f>Tabla10Maquinaria[[#This Row],[Cantidad]]*Tabla10Maquinaria[[#This Row],[Costo]]</f>
        <v>3220000</v>
      </c>
      <c r="G16" s="15"/>
      <c r="H16" s="15"/>
      <c r="I16" s="15"/>
      <c r="J16" s="15"/>
      <c r="K16" s="15"/>
      <c r="L16" s="15"/>
    </row>
    <row r="17" spans="1:12" ht="31.5" x14ac:dyDescent="0.25">
      <c r="A17" s="15"/>
      <c r="B17" s="157" t="s">
        <v>159</v>
      </c>
      <c r="C17" s="138" t="s">
        <v>160</v>
      </c>
      <c r="D17" s="155">
        <v>1</v>
      </c>
      <c r="E17" s="139">
        <v>980000</v>
      </c>
      <c r="F17" s="139">
        <f>Tabla10Maquinaria[[#This Row],[Cantidad]]*Tabla10Maquinaria[[#This Row],[Costo]]</f>
        <v>980000</v>
      </c>
      <c r="G17" s="15"/>
      <c r="H17" s="15"/>
      <c r="I17" s="15"/>
      <c r="J17" s="15"/>
      <c r="K17" s="15"/>
      <c r="L17" s="15"/>
    </row>
    <row r="18" spans="1:12" ht="15.75" x14ac:dyDescent="0.25">
      <c r="A18" s="15"/>
      <c r="B18" s="157" t="s">
        <v>161</v>
      </c>
      <c r="C18" s="138" t="s">
        <v>162</v>
      </c>
      <c r="D18" s="155">
        <v>5</v>
      </c>
      <c r="E18" s="139">
        <v>750000</v>
      </c>
      <c r="F18" s="139">
        <f>Tabla10Maquinaria[[#This Row],[Cantidad]]*Tabla10Maquinaria[[#This Row],[Costo]]</f>
        <v>3750000</v>
      </c>
      <c r="G18" s="15"/>
      <c r="H18" s="15"/>
      <c r="I18" s="15"/>
      <c r="J18" s="15"/>
      <c r="K18" s="15"/>
      <c r="L18" s="15"/>
    </row>
    <row r="19" spans="1:12" ht="15.75" x14ac:dyDescent="0.25">
      <c r="A19" s="15"/>
      <c r="B19" s="157" t="s">
        <v>163</v>
      </c>
      <c r="C19" s="138" t="s">
        <v>164</v>
      </c>
      <c r="D19" s="155">
        <v>20</v>
      </c>
      <c r="E19" s="139">
        <v>17000</v>
      </c>
      <c r="F19" s="139">
        <f>Tabla10Maquinaria[[#This Row],[Cantidad]]*Tabla10Maquinaria[[#This Row],[Costo]]</f>
        <v>340000</v>
      </c>
      <c r="G19" s="15"/>
      <c r="H19" s="15"/>
      <c r="I19" s="15"/>
      <c r="J19" s="15"/>
      <c r="K19" s="15"/>
      <c r="L19" s="15"/>
    </row>
    <row r="20" spans="1:12" ht="15.75" x14ac:dyDescent="0.25">
      <c r="A20" s="15"/>
      <c r="B20" s="157" t="s">
        <v>165</v>
      </c>
      <c r="C20" s="138" t="s">
        <v>166</v>
      </c>
      <c r="D20" s="155">
        <v>20</v>
      </c>
      <c r="E20" s="139">
        <v>34000</v>
      </c>
      <c r="F20" s="139">
        <f>Tabla10Maquinaria[[#This Row],[Cantidad]]*Tabla10Maquinaria[[#This Row],[Costo]]</f>
        <v>680000</v>
      </c>
      <c r="G20" s="15"/>
      <c r="H20" s="15"/>
      <c r="I20" s="15"/>
      <c r="J20" s="15"/>
      <c r="K20" s="15"/>
      <c r="L20" s="15"/>
    </row>
    <row r="21" spans="1:12" ht="15.75" x14ac:dyDescent="0.25">
      <c r="A21" s="15"/>
      <c r="B21" s="157" t="s">
        <v>167</v>
      </c>
      <c r="C21" s="138" t="s">
        <v>168</v>
      </c>
      <c r="D21" s="155">
        <v>20</v>
      </c>
      <c r="E21" s="139">
        <v>68000</v>
      </c>
      <c r="F21" s="139">
        <f>Tabla10Maquinaria[[#This Row],[Cantidad]]*Tabla10Maquinaria[[#This Row],[Costo]]</f>
        <v>1360000</v>
      </c>
      <c r="G21" s="15"/>
      <c r="H21" s="15"/>
      <c r="I21" s="15"/>
      <c r="J21" s="15"/>
      <c r="K21" s="15"/>
      <c r="L21" s="15"/>
    </row>
    <row r="22" spans="1:12" ht="15.75" x14ac:dyDescent="0.25">
      <c r="A22" s="15"/>
      <c r="B22" s="157" t="s">
        <v>169</v>
      </c>
      <c r="C22" s="138" t="s">
        <v>170</v>
      </c>
      <c r="D22" s="155">
        <v>20</v>
      </c>
      <c r="E22" s="139">
        <v>105000</v>
      </c>
      <c r="F22" s="139">
        <f>Tabla10Maquinaria[[#This Row],[Cantidad]]*Tabla10Maquinaria[[#This Row],[Costo]]</f>
        <v>2100000</v>
      </c>
      <c r="G22" s="15"/>
      <c r="H22" s="15"/>
      <c r="I22" s="15"/>
      <c r="J22" s="15"/>
      <c r="K22" s="15"/>
      <c r="L22" s="15"/>
    </row>
    <row r="23" spans="1:12" ht="15.75" x14ac:dyDescent="0.25">
      <c r="A23" s="15"/>
      <c r="B23" s="157" t="s">
        <v>171</v>
      </c>
      <c r="C23" s="138" t="s">
        <v>172</v>
      </c>
      <c r="D23" s="155">
        <v>20</v>
      </c>
      <c r="E23" s="139">
        <v>136000</v>
      </c>
      <c r="F23" s="139">
        <f>Tabla10Maquinaria[[#This Row],[Cantidad]]*Tabla10Maquinaria[[#This Row],[Costo]]</f>
        <v>2720000</v>
      </c>
      <c r="G23" s="15"/>
      <c r="H23" s="15"/>
      <c r="I23" s="15"/>
      <c r="J23" s="15"/>
      <c r="K23" s="15"/>
      <c r="L23" s="15"/>
    </row>
    <row r="24" spans="1:12" ht="15.75" x14ac:dyDescent="0.25">
      <c r="A24" s="15"/>
      <c r="B24" s="157" t="s">
        <v>173</v>
      </c>
      <c r="C24" s="138" t="s">
        <v>174</v>
      </c>
      <c r="D24" s="155">
        <v>14</v>
      </c>
      <c r="E24" s="139">
        <v>130000</v>
      </c>
      <c r="F24" s="139">
        <f>Tabla10Maquinaria[[#This Row],[Cantidad]]*Tabla10Maquinaria[[#This Row],[Costo]]</f>
        <v>1820000</v>
      </c>
      <c r="G24" s="15"/>
      <c r="H24" s="15"/>
      <c r="I24" s="15"/>
      <c r="J24" s="15"/>
      <c r="K24" s="15"/>
      <c r="L24" s="15"/>
    </row>
    <row r="25" spans="1:12" ht="15.75" x14ac:dyDescent="0.25">
      <c r="A25" s="15"/>
      <c r="B25" s="157" t="s">
        <v>175</v>
      </c>
      <c r="C25" s="138" t="s">
        <v>176</v>
      </c>
      <c r="D25" s="155">
        <v>20</v>
      </c>
      <c r="E25" s="139">
        <v>78000</v>
      </c>
      <c r="F25" s="139">
        <f>Tabla10Maquinaria[[#This Row],[Cantidad]]*Tabla10Maquinaria[[#This Row],[Costo]]</f>
        <v>1560000</v>
      </c>
      <c r="G25" s="15"/>
      <c r="H25" s="15"/>
      <c r="I25" s="15"/>
      <c r="J25" s="15"/>
      <c r="K25" s="15"/>
      <c r="L25" s="15"/>
    </row>
    <row r="26" spans="1:12" ht="15.75" x14ac:dyDescent="0.25">
      <c r="A26" s="15"/>
      <c r="B26" s="156" t="s">
        <v>177</v>
      </c>
      <c r="C26" s="138" t="s">
        <v>178</v>
      </c>
      <c r="D26" s="155">
        <v>1</v>
      </c>
      <c r="E26" s="139">
        <v>300000</v>
      </c>
      <c r="F26" s="139">
        <f>Tabla10Maquinaria[[#This Row],[Cantidad]]*Tabla10Maquinaria[[#This Row],[Costo]]</f>
        <v>300000</v>
      </c>
      <c r="G26" s="15"/>
      <c r="H26" s="15"/>
      <c r="I26" s="15"/>
      <c r="J26" s="15"/>
      <c r="K26" s="15"/>
      <c r="L26" s="15"/>
    </row>
    <row r="27" spans="1:12" ht="31.5" x14ac:dyDescent="0.25">
      <c r="A27" s="15"/>
      <c r="B27" s="157" t="s">
        <v>179</v>
      </c>
      <c r="C27" s="138" t="s">
        <v>180</v>
      </c>
      <c r="D27" s="155">
        <v>4</v>
      </c>
      <c r="E27" s="139">
        <v>48000</v>
      </c>
      <c r="F27" s="139">
        <f>Tabla10Maquinaria[[#This Row],[Cantidad]]*Tabla10Maquinaria[[#This Row],[Costo]]</f>
        <v>192000</v>
      </c>
      <c r="G27" s="15"/>
      <c r="H27" s="15"/>
      <c r="I27" s="15"/>
      <c r="J27" s="15"/>
      <c r="K27" s="15"/>
      <c r="L27" s="15"/>
    </row>
    <row r="28" spans="1:12" ht="31.5" x14ac:dyDescent="0.25">
      <c r="A28" s="15"/>
      <c r="B28" s="157" t="s">
        <v>181</v>
      </c>
      <c r="C28" s="138" t="s">
        <v>182</v>
      </c>
      <c r="D28" s="155">
        <v>4</v>
      </c>
      <c r="E28" s="139">
        <v>948112</v>
      </c>
      <c r="F28" s="139">
        <f>Tabla10Maquinaria[[#This Row],[Cantidad]]*Tabla10Maquinaria[[#This Row],[Costo]]</f>
        <v>3792448</v>
      </c>
      <c r="G28" s="15"/>
      <c r="H28" s="15"/>
      <c r="I28" s="15"/>
      <c r="J28" s="15"/>
      <c r="K28" s="15"/>
      <c r="L28" s="15"/>
    </row>
    <row r="29" spans="1:12" ht="15.75" x14ac:dyDescent="0.25">
      <c r="A29" s="15"/>
      <c r="B29" s="157" t="s">
        <v>183</v>
      </c>
      <c r="C29" s="138" t="s">
        <v>184</v>
      </c>
      <c r="D29" s="155">
        <v>20</v>
      </c>
      <c r="E29" s="139">
        <v>50000</v>
      </c>
      <c r="F29" s="139">
        <f>Tabla10Maquinaria[[#This Row],[Cantidad]]*Tabla10Maquinaria[[#This Row],[Costo]]</f>
        <v>1000000</v>
      </c>
      <c r="G29" s="15"/>
      <c r="H29" s="15"/>
      <c r="I29" s="15"/>
      <c r="J29" s="15"/>
      <c r="K29" s="15"/>
      <c r="L29" s="15"/>
    </row>
    <row r="30" spans="1:12" ht="15.75" x14ac:dyDescent="0.25">
      <c r="A30" s="15"/>
      <c r="B30" s="157" t="s">
        <v>185</v>
      </c>
      <c r="C30" s="138" t="s">
        <v>186</v>
      </c>
      <c r="D30" s="155">
        <v>3</v>
      </c>
      <c r="E30" s="139">
        <v>1000000</v>
      </c>
      <c r="F30" s="139">
        <f>Tabla10Maquinaria[[#This Row],[Cantidad]]*Tabla10Maquinaria[[#This Row],[Costo]]</f>
        <v>3000000</v>
      </c>
      <c r="G30" s="15"/>
      <c r="H30" s="15"/>
      <c r="I30" s="15"/>
      <c r="J30" s="15"/>
      <c r="K30" s="15"/>
      <c r="L30" s="15"/>
    </row>
    <row r="31" spans="1:12" ht="15.75" x14ac:dyDescent="0.25">
      <c r="A31" s="15"/>
      <c r="B31" s="157" t="s">
        <v>187</v>
      </c>
      <c r="C31" s="138" t="s">
        <v>188</v>
      </c>
      <c r="D31" s="155">
        <v>4</v>
      </c>
      <c r="E31" s="139">
        <v>746000</v>
      </c>
      <c r="F31" s="139">
        <f>Tabla10Maquinaria[[#This Row],[Cantidad]]*Tabla10Maquinaria[[#This Row],[Costo]]</f>
        <v>2984000</v>
      </c>
      <c r="G31" s="15"/>
      <c r="H31" s="15"/>
      <c r="I31" s="15"/>
      <c r="J31" s="15"/>
      <c r="K31" s="15"/>
      <c r="L31" s="15"/>
    </row>
    <row r="32" spans="1:12" ht="15.75" x14ac:dyDescent="0.25">
      <c r="A32" s="15"/>
      <c r="B32" s="157" t="s">
        <v>189</v>
      </c>
      <c r="C32" s="138" t="s">
        <v>190</v>
      </c>
      <c r="D32" s="155">
        <v>8</v>
      </c>
      <c r="E32" s="139">
        <v>192165</v>
      </c>
      <c r="F32" s="139">
        <f>Tabla10Maquinaria[[#This Row],[Cantidad]]*Tabla10Maquinaria[[#This Row],[Costo]]</f>
        <v>1537320</v>
      </c>
      <c r="G32" s="15"/>
      <c r="H32" s="15"/>
      <c r="I32" s="15"/>
      <c r="J32" s="15"/>
      <c r="K32" s="15"/>
      <c r="L32" s="15"/>
    </row>
    <row r="33" spans="1:12" ht="31.5" x14ac:dyDescent="0.25">
      <c r="A33" s="15"/>
      <c r="B33" s="157" t="s">
        <v>191</v>
      </c>
      <c r="C33" s="138" t="s">
        <v>192</v>
      </c>
      <c r="D33" s="155">
        <v>1</v>
      </c>
      <c r="E33" s="139">
        <v>1400000</v>
      </c>
      <c r="F33" s="139">
        <f>Tabla10Maquinaria[[#This Row],[Cantidad]]*Tabla10Maquinaria[[#This Row],[Costo]]</f>
        <v>1400000</v>
      </c>
      <c r="G33" s="15"/>
      <c r="H33" s="15"/>
      <c r="I33" s="15"/>
      <c r="J33" s="15"/>
      <c r="K33" s="15"/>
      <c r="L33" s="15"/>
    </row>
    <row r="34" spans="1:12" ht="15.75" x14ac:dyDescent="0.25">
      <c r="A34" s="15"/>
      <c r="B34" s="157" t="s">
        <v>193</v>
      </c>
      <c r="C34" s="138" t="s">
        <v>194</v>
      </c>
      <c r="D34" s="155">
        <v>1</v>
      </c>
      <c r="E34" s="139">
        <v>1400000</v>
      </c>
      <c r="F34" s="139">
        <f>Tabla10Maquinaria[[#This Row],[Cantidad]]*Tabla10Maquinaria[[#This Row],[Costo]]</f>
        <v>1400000</v>
      </c>
      <c r="G34" s="15"/>
      <c r="H34" s="15"/>
      <c r="I34" s="15"/>
      <c r="J34" s="15"/>
      <c r="K34" s="15"/>
      <c r="L34" s="15"/>
    </row>
    <row r="35" spans="1:12" ht="15.75" x14ac:dyDescent="0.25">
      <c r="A35" s="15"/>
      <c r="B35" s="157" t="s">
        <v>195</v>
      </c>
      <c r="C35" s="138" t="s">
        <v>196</v>
      </c>
      <c r="D35" s="155">
        <v>1</v>
      </c>
      <c r="E35" s="139">
        <v>1400000</v>
      </c>
      <c r="F35" s="139">
        <f>Tabla10Maquinaria[[#This Row],[Cantidad]]*Tabla10Maquinaria[[#This Row],[Costo]]</f>
        <v>1400000</v>
      </c>
      <c r="G35" s="15"/>
      <c r="H35" s="15"/>
      <c r="I35" s="15"/>
      <c r="J35" s="15"/>
      <c r="K35" s="15"/>
      <c r="L35" s="15"/>
    </row>
    <row r="36" spans="1:12" ht="15.75" x14ac:dyDescent="0.25">
      <c r="A36" s="15"/>
      <c r="B36" s="156" t="s">
        <v>197</v>
      </c>
      <c r="C36" s="138" t="s">
        <v>198</v>
      </c>
      <c r="D36" s="155">
        <v>1</v>
      </c>
      <c r="E36" s="139">
        <v>70000</v>
      </c>
      <c r="F36" s="139">
        <f>Tabla10Maquinaria[[#This Row],[Cantidad]]*Tabla10Maquinaria[[#This Row],[Costo]]</f>
        <v>70000</v>
      </c>
      <c r="G36" s="15"/>
      <c r="H36" s="15"/>
      <c r="I36" s="15"/>
      <c r="J36" s="15"/>
      <c r="K36" s="15"/>
      <c r="L36" s="15"/>
    </row>
    <row r="37" spans="1:12" ht="15.75" x14ac:dyDescent="0.25">
      <c r="A37" s="15"/>
      <c r="B37" s="156" t="s">
        <v>199</v>
      </c>
      <c r="C37" s="138" t="s">
        <v>200</v>
      </c>
      <c r="D37" s="155">
        <v>1</v>
      </c>
      <c r="E37" s="139">
        <v>45000</v>
      </c>
      <c r="F37" s="139">
        <f>Tabla10Maquinaria[[#This Row],[Cantidad]]*Tabla10Maquinaria[[#This Row],[Costo]]</f>
        <v>45000</v>
      </c>
      <c r="G37" s="15"/>
      <c r="H37" s="15"/>
      <c r="I37" s="15"/>
      <c r="J37" s="15"/>
      <c r="K37" s="15"/>
      <c r="L37" s="15"/>
    </row>
    <row r="38" spans="1:12" ht="15.75" x14ac:dyDescent="0.25">
      <c r="A38" s="15"/>
      <c r="B38" s="157" t="s">
        <v>201</v>
      </c>
      <c r="C38" s="138" t="s">
        <v>202</v>
      </c>
      <c r="D38" s="155">
        <v>70</v>
      </c>
      <c r="E38" s="139">
        <v>34000</v>
      </c>
      <c r="F38" s="139">
        <f>Tabla10Maquinaria[[#This Row],[Cantidad]]*Tabla10Maquinaria[[#This Row],[Costo]]</f>
        <v>2380000</v>
      </c>
      <c r="G38" s="15"/>
      <c r="H38" s="15"/>
      <c r="I38" s="15"/>
      <c r="J38" s="15"/>
      <c r="K38" s="15"/>
      <c r="L38" s="15"/>
    </row>
    <row r="39" spans="1:12" ht="15.75" x14ac:dyDescent="0.25">
      <c r="A39" s="15"/>
      <c r="B39" s="157" t="s">
        <v>203</v>
      </c>
      <c r="C39" s="138" t="s">
        <v>204</v>
      </c>
      <c r="D39" s="155">
        <v>1</v>
      </c>
      <c r="E39" s="139">
        <v>200000</v>
      </c>
      <c r="F39" s="139">
        <f>Tabla10Maquinaria[[#This Row],[Cantidad]]*Tabla10Maquinaria[[#This Row],[Costo]]</f>
        <v>200000</v>
      </c>
      <c r="G39" s="15"/>
      <c r="H39" s="15"/>
      <c r="I39" s="15"/>
      <c r="J39" s="15"/>
      <c r="K39" s="15"/>
      <c r="L39" s="15"/>
    </row>
    <row r="40" spans="1:12" ht="15.75" x14ac:dyDescent="0.25">
      <c r="A40" s="15"/>
      <c r="B40" s="273" t="s">
        <v>577</v>
      </c>
      <c r="C40" s="138" t="s">
        <v>205</v>
      </c>
      <c r="D40" s="155">
        <v>6</v>
      </c>
      <c r="E40" s="139">
        <v>450000</v>
      </c>
      <c r="F40" s="139">
        <f>Tabla10Maquinaria[[#This Row],[Cantidad]]*Tabla10Maquinaria[[#This Row],[Costo]]</f>
        <v>2700000</v>
      </c>
      <c r="G40" s="15"/>
      <c r="H40" s="15"/>
      <c r="I40" s="15"/>
      <c r="J40" s="15"/>
      <c r="K40" s="15"/>
      <c r="L40" s="15"/>
    </row>
    <row r="41" spans="1:12" ht="15.75" x14ac:dyDescent="0.25">
      <c r="A41" s="15"/>
      <c r="B41" s="170" t="s">
        <v>206</v>
      </c>
      <c r="C41" s="138" t="s">
        <v>207</v>
      </c>
      <c r="D41" s="155">
        <v>1</v>
      </c>
      <c r="E41" s="139">
        <v>2000000</v>
      </c>
      <c r="F41" s="139">
        <f>Tabla10Maquinaria[[#This Row],[Cantidad]]*Tabla10Maquinaria[[#This Row],[Costo]]</f>
        <v>2000000</v>
      </c>
      <c r="G41" s="15"/>
      <c r="H41" s="15"/>
      <c r="I41" s="15"/>
      <c r="J41" s="15"/>
      <c r="K41" s="15"/>
      <c r="L41" s="15"/>
    </row>
    <row r="42" spans="1:12" ht="15.75" x14ac:dyDescent="0.25">
      <c r="A42" s="15"/>
      <c r="B42" s="98" t="s">
        <v>66</v>
      </c>
      <c r="C42" s="98"/>
      <c r="D42" s="99"/>
      <c r="E42" s="100">
        <f>SUM(E7:E41)</f>
        <v>41286277</v>
      </c>
      <c r="F42" s="100">
        <f>SUM(F7:F41)</f>
        <v>74515768</v>
      </c>
      <c r="G42" s="15"/>
      <c r="H42" s="15"/>
      <c r="I42" s="15"/>
      <c r="J42" s="15"/>
      <c r="K42" s="15"/>
      <c r="L42" s="15"/>
    </row>
    <row r="43" spans="1:12" ht="15.75" x14ac:dyDescent="0.25">
      <c r="A43" s="15"/>
      <c r="B43" s="12"/>
      <c r="C43" s="12"/>
      <c r="D43" s="20"/>
      <c r="E43" s="20"/>
      <c r="F43" s="20"/>
      <c r="G43" s="15"/>
      <c r="H43" s="15"/>
      <c r="I43" s="15"/>
      <c r="J43" s="15"/>
      <c r="K43" s="15"/>
      <c r="L43" s="15"/>
    </row>
    <row r="44" spans="1:12" ht="15.75" x14ac:dyDescent="0.25">
      <c r="A44" s="15"/>
      <c r="B44" s="15" t="s">
        <v>208</v>
      </c>
      <c r="C44" s="15"/>
      <c r="D44" s="20"/>
      <c r="E44" s="20"/>
      <c r="F44" s="20"/>
      <c r="G44" s="15"/>
      <c r="H44" s="15"/>
      <c r="I44" s="15"/>
      <c r="J44" s="15"/>
      <c r="K44" s="15"/>
      <c r="L44" s="15"/>
    </row>
    <row r="45" spans="1:12" ht="15.75" x14ac:dyDescent="0.25">
      <c r="A45" s="15"/>
      <c r="B45" s="162" t="s">
        <v>135</v>
      </c>
      <c r="C45" s="105" t="s">
        <v>136</v>
      </c>
      <c r="D45" s="163" t="s">
        <v>137</v>
      </c>
      <c r="E45" s="163" t="s">
        <v>138</v>
      </c>
      <c r="F45" s="164" t="s">
        <v>125</v>
      </c>
      <c r="G45" s="15"/>
      <c r="H45" s="15"/>
      <c r="I45" s="15"/>
      <c r="J45" s="15"/>
      <c r="K45" s="15"/>
      <c r="L45" s="15"/>
    </row>
    <row r="46" spans="1:12" ht="15.75" x14ac:dyDescent="0.25">
      <c r="A46" s="15"/>
      <c r="B46" s="161" t="s">
        <v>209</v>
      </c>
      <c r="C46" s="156" t="s">
        <v>210</v>
      </c>
      <c r="D46" s="155">
        <v>1</v>
      </c>
      <c r="E46" s="139">
        <v>33900</v>
      </c>
      <c r="F46" s="140">
        <f>Tabla11Equipo[[#This Row],[Costo]]*Tabla11Equipo[[#This Row],[Cantidad]]</f>
        <v>33900</v>
      </c>
      <c r="G46" s="15"/>
      <c r="H46" s="15"/>
      <c r="I46" s="15"/>
      <c r="J46" s="15"/>
      <c r="K46" s="15"/>
      <c r="L46" s="15"/>
    </row>
    <row r="47" spans="1:12" ht="15.75" x14ac:dyDescent="0.25">
      <c r="A47" s="15"/>
      <c r="B47" s="161" t="s">
        <v>211</v>
      </c>
      <c r="C47" s="156" t="s">
        <v>212</v>
      </c>
      <c r="D47" s="155">
        <v>1</v>
      </c>
      <c r="E47" s="139">
        <v>199900</v>
      </c>
      <c r="F47" s="140">
        <f>Tabla11Equipo[[#This Row],[Costo]]*Tabla11Equipo[[#This Row],[Cantidad]]</f>
        <v>199900</v>
      </c>
      <c r="G47" s="15"/>
      <c r="H47" s="15"/>
      <c r="I47" s="15"/>
      <c r="J47" s="15"/>
      <c r="K47" s="15"/>
      <c r="L47" s="15"/>
    </row>
    <row r="48" spans="1:12" ht="15.75" x14ac:dyDescent="0.25">
      <c r="A48" s="15"/>
      <c r="B48" s="165" t="s">
        <v>66</v>
      </c>
      <c r="C48" s="166"/>
      <c r="D48" s="167"/>
      <c r="E48" s="168">
        <f>SUM(E46:E47)</f>
        <v>233800</v>
      </c>
      <c r="F48" s="169">
        <f>SUM(F46:F47)</f>
        <v>233800</v>
      </c>
      <c r="G48" s="15"/>
      <c r="H48" s="15"/>
      <c r="I48" s="15"/>
      <c r="J48" s="15"/>
      <c r="K48" s="15"/>
      <c r="L48" s="15"/>
    </row>
    <row r="49" spans="1:12" ht="15.75" x14ac:dyDescent="0.25">
      <c r="A49" s="15"/>
      <c r="B49" s="12"/>
      <c r="C49" s="12"/>
      <c r="D49" s="20"/>
      <c r="E49" s="20"/>
      <c r="F49" s="20"/>
      <c r="G49" s="15"/>
      <c r="H49" s="15"/>
      <c r="I49" s="15"/>
      <c r="J49" s="15"/>
      <c r="K49" s="15"/>
      <c r="L49" s="15"/>
    </row>
    <row r="50" spans="1:12" ht="15.75" x14ac:dyDescent="0.25">
      <c r="A50" s="15"/>
      <c r="B50" s="15" t="s">
        <v>213</v>
      </c>
      <c r="C50" s="15"/>
      <c r="D50" s="20"/>
      <c r="E50" s="20"/>
      <c r="F50" s="20"/>
      <c r="G50" s="15"/>
      <c r="H50" s="15"/>
      <c r="I50" s="15"/>
      <c r="J50" s="15"/>
      <c r="K50" s="15"/>
      <c r="L50" s="15"/>
    </row>
    <row r="51" spans="1:12" ht="15.75" x14ac:dyDescent="0.25">
      <c r="A51" s="15"/>
      <c r="B51" s="98" t="s">
        <v>135</v>
      </c>
      <c r="C51" s="98" t="s">
        <v>136</v>
      </c>
      <c r="D51" s="154" t="s">
        <v>137</v>
      </c>
      <c r="E51" s="154" t="s">
        <v>138</v>
      </c>
      <c r="F51" s="154" t="s">
        <v>125</v>
      </c>
      <c r="G51" s="15"/>
      <c r="H51" s="15"/>
      <c r="I51" s="15"/>
      <c r="J51" s="15"/>
      <c r="K51" s="15"/>
      <c r="L51" s="15"/>
    </row>
    <row r="52" spans="1:12" ht="15.75" x14ac:dyDescent="0.25">
      <c r="A52" s="15"/>
      <c r="B52" s="156" t="s">
        <v>214</v>
      </c>
      <c r="C52" s="157" t="s">
        <v>215</v>
      </c>
      <c r="D52" s="155">
        <v>1</v>
      </c>
      <c r="E52" s="139">
        <v>2199000</v>
      </c>
      <c r="F52" s="104">
        <f>Tabla12Computo[[#This Row],[Costo]]*Tabla12Computo[[#This Row],[Cantidad]]</f>
        <v>2199000</v>
      </c>
      <c r="G52" s="15"/>
      <c r="H52" s="15"/>
      <c r="I52" s="15"/>
      <c r="J52" s="15"/>
      <c r="K52" s="15"/>
      <c r="L52" s="15"/>
    </row>
    <row r="53" spans="1:12" ht="15.75" x14ac:dyDescent="0.25">
      <c r="A53" s="15"/>
      <c r="B53" s="138" t="s">
        <v>216</v>
      </c>
      <c r="C53" s="138" t="s">
        <v>217</v>
      </c>
      <c r="D53" s="155">
        <v>1</v>
      </c>
      <c r="E53" s="139">
        <v>119900</v>
      </c>
      <c r="F53" s="104">
        <f>Tabla12Computo[[#This Row],[Costo]]*Tabla12Computo[[#This Row],[Cantidad]]</f>
        <v>119900</v>
      </c>
      <c r="G53" s="15"/>
      <c r="H53" s="15"/>
      <c r="I53" s="15"/>
      <c r="J53" s="15"/>
      <c r="K53" s="15"/>
      <c r="L53" s="15"/>
    </row>
    <row r="54" spans="1:12" ht="15.75" x14ac:dyDescent="0.25">
      <c r="A54" s="15"/>
      <c r="B54" s="138" t="s">
        <v>218</v>
      </c>
      <c r="C54" s="138" t="s">
        <v>219</v>
      </c>
      <c r="D54" s="155">
        <v>1</v>
      </c>
      <c r="E54" s="139">
        <v>800000</v>
      </c>
      <c r="F54" s="104">
        <f>Tabla12Computo[[#This Row],[Costo]]*Tabla12Computo[[#This Row],[Cantidad]]</f>
        <v>800000</v>
      </c>
      <c r="G54" s="15"/>
      <c r="H54" s="15"/>
      <c r="I54" s="15"/>
      <c r="J54" s="15"/>
      <c r="K54" s="15"/>
      <c r="L54" s="15"/>
    </row>
    <row r="55" spans="1:12" ht="15.75" x14ac:dyDescent="0.25">
      <c r="A55" s="15"/>
      <c r="B55" s="98" t="s">
        <v>66</v>
      </c>
      <c r="C55" s="98"/>
      <c r="D55" s="99"/>
      <c r="E55" s="100">
        <f>SUM(E52:E54)</f>
        <v>3118900</v>
      </c>
      <c r="F55" s="100">
        <f>SUM(F52:F54)</f>
        <v>3118900</v>
      </c>
      <c r="G55" s="15"/>
      <c r="H55" s="15"/>
      <c r="I55" s="15"/>
      <c r="J55" s="15"/>
      <c r="K55" s="15"/>
      <c r="L55" s="15"/>
    </row>
    <row r="56" spans="1:12" ht="15.75" x14ac:dyDescent="0.25">
      <c r="A56" s="15"/>
      <c r="B56" s="12"/>
      <c r="C56" s="12"/>
      <c r="D56" s="20"/>
      <c r="E56" s="20"/>
      <c r="F56" s="20"/>
      <c r="G56" s="15"/>
      <c r="H56" s="15"/>
      <c r="I56" s="15"/>
      <c r="J56" s="15"/>
      <c r="K56" s="15"/>
      <c r="L56" s="15"/>
    </row>
    <row r="57" spans="1:12" ht="31.5" x14ac:dyDescent="0.25">
      <c r="A57" s="15"/>
      <c r="B57" s="158" t="s">
        <v>220</v>
      </c>
      <c r="C57" s="158"/>
      <c r="D57" s="159"/>
      <c r="E57" s="159"/>
      <c r="F57" s="142">
        <f>Tabla10Maquinaria[[#Totals],[Subtotal]]+Tabla11Equipo[[#Totals],[Subtotal]]+Tabla12Computo[[#Totals],[Subtotal]]</f>
        <v>77868468</v>
      </c>
      <c r="G57" s="15"/>
      <c r="H57" s="15"/>
      <c r="I57" s="15"/>
      <c r="J57" s="15"/>
      <c r="K57" s="15"/>
      <c r="L57" s="15"/>
    </row>
    <row r="58" spans="1:12" ht="15.75" x14ac:dyDescent="0.25">
      <c r="A58" s="15"/>
      <c r="B58" s="12"/>
      <c r="C58" s="12"/>
      <c r="D58" s="20"/>
      <c r="E58" s="20"/>
      <c r="F58" s="20"/>
      <c r="G58" s="15"/>
      <c r="H58" s="15"/>
      <c r="I58" s="15"/>
      <c r="J58" s="15"/>
      <c r="K58" s="15"/>
      <c r="L58" s="15"/>
    </row>
    <row r="59" spans="1:12" ht="15.75" x14ac:dyDescent="0.25">
      <c r="A59" s="15"/>
      <c r="B59" s="12"/>
      <c r="C59" s="12"/>
      <c r="D59" s="20"/>
      <c r="E59" s="20"/>
      <c r="F59" s="20"/>
      <c r="G59" s="15"/>
      <c r="H59" s="15"/>
      <c r="I59" s="15"/>
      <c r="J59" s="15"/>
      <c r="K59" s="15"/>
      <c r="L59" s="15"/>
    </row>
    <row r="60" spans="1:12" ht="15.75" x14ac:dyDescent="0.25">
      <c r="A60" s="15"/>
      <c r="B60" s="12"/>
      <c r="C60" s="12"/>
      <c r="D60" s="20"/>
      <c r="E60" s="20"/>
      <c r="F60" s="20"/>
      <c r="G60" s="15"/>
      <c r="H60" s="15"/>
      <c r="I60" s="15"/>
      <c r="J60" s="15"/>
      <c r="K60" s="15"/>
      <c r="L60" s="15"/>
    </row>
    <row r="61" spans="1:12" ht="15.75" x14ac:dyDescent="0.25">
      <c r="A61" s="15"/>
      <c r="B61" s="12"/>
      <c r="C61" s="12"/>
      <c r="D61" s="20"/>
      <c r="E61" s="20"/>
      <c r="F61" s="20"/>
      <c r="G61" s="15"/>
      <c r="H61" s="15"/>
      <c r="I61" s="15"/>
      <c r="J61" s="15"/>
      <c r="K61" s="15"/>
      <c r="L61" s="15"/>
    </row>
    <row r="62" spans="1:12" ht="15.75" x14ac:dyDescent="0.25">
      <c r="A62" s="15"/>
      <c r="B62" s="12"/>
      <c r="C62" s="12"/>
      <c r="D62" s="20"/>
      <c r="E62" s="20"/>
      <c r="F62" s="20"/>
      <c r="G62" s="15"/>
      <c r="H62" s="15"/>
      <c r="I62" s="15"/>
      <c r="J62" s="15"/>
      <c r="K62" s="15"/>
      <c r="L62" s="15"/>
    </row>
    <row r="63" spans="1:12" ht="15.75" x14ac:dyDescent="0.25">
      <c r="A63" s="15"/>
      <c r="B63" s="12"/>
      <c r="C63" s="12"/>
      <c r="D63" s="20"/>
      <c r="E63" s="20"/>
      <c r="F63" s="20"/>
      <c r="G63" s="15"/>
      <c r="H63" s="15"/>
      <c r="I63" s="15"/>
      <c r="J63" s="15"/>
      <c r="K63" s="15"/>
      <c r="L63" s="15"/>
    </row>
    <row r="64" spans="1:12" ht="15.75" x14ac:dyDescent="0.25">
      <c r="A64" s="15"/>
      <c r="B64" s="12"/>
      <c r="C64" s="12"/>
      <c r="D64" s="20"/>
      <c r="E64" s="20"/>
      <c r="F64" s="20"/>
      <c r="G64" s="15"/>
      <c r="H64" s="15"/>
      <c r="I64" s="15"/>
      <c r="J64" s="15"/>
      <c r="K64" s="15"/>
      <c r="L64" s="15"/>
    </row>
    <row r="65" spans="1:12" ht="15.75" x14ac:dyDescent="0.25">
      <c r="A65" s="15"/>
      <c r="B65" s="12"/>
      <c r="C65" s="12"/>
      <c r="D65" s="20"/>
      <c r="E65" s="20"/>
      <c r="F65" s="20"/>
      <c r="G65" s="15"/>
      <c r="H65" s="15"/>
      <c r="I65" s="15"/>
      <c r="J65" s="15"/>
      <c r="K65" s="15"/>
      <c r="L65" s="15"/>
    </row>
    <row r="66" spans="1:12" ht="15.75" x14ac:dyDescent="0.25">
      <c r="A66" s="15"/>
      <c r="B66" s="12"/>
      <c r="C66" s="12"/>
      <c r="D66" s="20"/>
      <c r="E66" s="20"/>
      <c r="F66" s="20"/>
      <c r="G66" s="15"/>
      <c r="H66" s="15"/>
      <c r="I66" s="15"/>
      <c r="J66" s="15"/>
      <c r="K66" s="15"/>
      <c r="L66" s="15"/>
    </row>
    <row r="67" spans="1:12" ht="15.75" x14ac:dyDescent="0.25">
      <c r="A67" s="15"/>
      <c r="B67" s="12"/>
      <c r="C67" s="12"/>
      <c r="D67" s="20"/>
      <c r="E67" s="20"/>
      <c r="F67" s="20"/>
      <c r="G67" s="15"/>
      <c r="H67" s="15"/>
      <c r="I67" s="15"/>
      <c r="J67" s="15"/>
      <c r="K67" s="15"/>
      <c r="L67" s="15"/>
    </row>
    <row r="68" spans="1:12" ht="15.75" x14ac:dyDescent="0.25">
      <c r="A68" s="15"/>
      <c r="B68" s="12"/>
      <c r="C68" s="12"/>
      <c r="D68" s="20"/>
      <c r="E68" s="20"/>
      <c r="F68" s="20"/>
      <c r="G68" s="15"/>
      <c r="H68" s="15"/>
      <c r="I68" s="15"/>
      <c r="J68" s="15"/>
      <c r="K68" s="15"/>
      <c r="L68" s="15"/>
    </row>
    <row r="69" spans="1:12" ht="15.75" x14ac:dyDescent="0.25">
      <c r="A69" s="15"/>
      <c r="B69" s="12"/>
      <c r="C69" s="12"/>
      <c r="D69" s="20"/>
      <c r="E69" s="20"/>
      <c r="F69" s="20"/>
      <c r="G69" s="15"/>
      <c r="H69" s="15"/>
      <c r="I69" s="15"/>
      <c r="J69" s="15"/>
      <c r="K69" s="15"/>
      <c r="L69" s="15"/>
    </row>
    <row r="70" spans="1:12" ht="15.75" x14ac:dyDescent="0.25">
      <c r="A70" s="15"/>
      <c r="B70" s="12"/>
      <c r="C70" s="12"/>
      <c r="D70" s="20"/>
      <c r="E70" s="20"/>
      <c r="F70" s="20"/>
      <c r="G70" s="15"/>
      <c r="H70" s="15"/>
      <c r="I70" s="15"/>
      <c r="J70" s="15"/>
      <c r="K70" s="15"/>
      <c r="L70" s="15"/>
    </row>
    <row r="71" spans="1:12" ht="15.75" x14ac:dyDescent="0.25">
      <c r="A71" s="15"/>
      <c r="B71" s="12"/>
      <c r="C71" s="12"/>
      <c r="D71" s="20"/>
      <c r="E71" s="20"/>
      <c r="F71" s="20"/>
      <c r="G71" s="15"/>
      <c r="H71" s="15"/>
      <c r="I71" s="15"/>
      <c r="J71" s="15"/>
      <c r="K71" s="15"/>
      <c r="L71" s="15"/>
    </row>
    <row r="72" spans="1:12" ht="15.75" x14ac:dyDescent="0.25">
      <c r="A72" s="15"/>
      <c r="B72" s="12"/>
      <c r="C72" s="12"/>
      <c r="D72" s="20"/>
      <c r="E72" s="20"/>
      <c r="F72" s="20"/>
      <c r="G72" s="15"/>
      <c r="H72" s="15"/>
      <c r="I72" s="15"/>
      <c r="J72" s="15"/>
      <c r="K72" s="15"/>
      <c r="L72" s="15"/>
    </row>
    <row r="73" spans="1:12" ht="15.75" x14ac:dyDescent="0.25">
      <c r="A73" s="15"/>
      <c r="B73" s="12"/>
      <c r="C73" s="12"/>
      <c r="D73" s="20"/>
      <c r="E73" s="20"/>
      <c r="F73" s="20"/>
      <c r="G73" s="15"/>
      <c r="H73" s="15"/>
      <c r="I73" s="15"/>
      <c r="J73" s="15"/>
      <c r="K73" s="15"/>
      <c r="L73" s="15"/>
    </row>
    <row r="74" spans="1:12" ht="15.75" x14ac:dyDescent="0.25">
      <c r="A74" s="15"/>
      <c r="B74" s="12"/>
      <c r="C74" s="12"/>
      <c r="D74" s="20"/>
      <c r="E74" s="20"/>
      <c r="F74" s="20"/>
      <c r="G74" s="15"/>
      <c r="H74" s="15"/>
      <c r="I74" s="15"/>
      <c r="J74" s="15"/>
      <c r="K74" s="15"/>
      <c r="L74" s="15"/>
    </row>
    <row r="75" spans="1:12" ht="15.75" x14ac:dyDescent="0.25">
      <c r="A75" s="15"/>
      <c r="B75" s="12"/>
      <c r="C75" s="12"/>
      <c r="D75" s="20"/>
      <c r="E75" s="20"/>
      <c r="F75" s="20"/>
      <c r="G75" s="15"/>
      <c r="H75" s="15"/>
      <c r="I75" s="15"/>
      <c r="J75" s="15"/>
      <c r="K75" s="15"/>
      <c r="L75" s="15"/>
    </row>
    <row r="76" spans="1:12" ht="15.75" x14ac:dyDescent="0.25">
      <c r="A76" s="15"/>
      <c r="B76" s="12"/>
      <c r="C76" s="12"/>
      <c r="D76" s="20"/>
      <c r="E76" s="20"/>
      <c r="F76" s="20"/>
      <c r="G76" s="15"/>
      <c r="H76" s="15"/>
      <c r="I76" s="15"/>
      <c r="J76" s="15"/>
      <c r="K76" s="15"/>
      <c r="L76" s="15"/>
    </row>
    <row r="77" spans="1:12" ht="15.75" x14ac:dyDescent="0.25">
      <c r="A77" s="15"/>
      <c r="B77" s="12"/>
      <c r="C77" s="12"/>
      <c r="D77" s="20"/>
      <c r="E77" s="20"/>
      <c r="F77" s="20"/>
      <c r="G77" s="15"/>
      <c r="H77" s="15"/>
      <c r="I77" s="15"/>
      <c r="J77" s="15"/>
      <c r="K77" s="15"/>
      <c r="L77" s="15"/>
    </row>
    <row r="78" spans="1:12" ht="15.75" x14ac:dyDescent="0.25">
      <c r="A78" s="15"/>
      <c r="B78" s="12"/>
      <c r="C78" s="12"/>
      <c r="D78" s="20"/>
      <c r="E78" s="20"/>
      <c r="F78" s="20"/>
      <c r="G78" s="15"/>
      <c r="H78" s="15"/>
      <c r="I78" s="15"/>
      <c r="J78" s="15"/>
      <c r="K78" s="15"/>
      <c r="L78" s="15"/>
    </row>
    <row r="79" spans="1:12" ht="15.75" x14ac:dyDescent="0.25">
      <c r="A79" s="15"/>
      <c r="B79" s="12"/>
      <c r="C79" s="12"/>
      <c r="D79" s="20"/>
      <c r="E79" s="20"/>
      <c r="F79" s="20"/>
      <c r="G79" s="15"/>
      <c r="H79" s="15"/>
      <c r="I79" s="15"/>
      <c r="J79" s="15"/>
      <c r="K79" s="15"/>
      <c r="L79" s="15"/>
    </row>
    <row r="80" spans="1:12" ht="15.75" x14ac:dyDescent="0.25">
      <c r="A80" s="15"/>
      <c r="B80" s="12"/>
      <c r="C80" s="12"/>
      <c r="D80" s="20"/>
      <c r="E80" s="20"/>
      <c r="F80" s="20"/>
      <c r="G80" s="15"/>
      <c r="H80" s="15"/>
      <c r="I80" s="15"/>
      <c r="J80" s="15"/>
      <c r="K80" s="15"/>
      <c r="L80" s="15"/>
    </row>
    <row r="81" spans="1:12" ht="15.75" x14ac:dyDescent="0.25">
      <c r="A81" s="15"/>
      <c r="B81" s="12"/>
      <c r="C81" s="12"/>
      <c r="D81" s="20"/>
      <c r="E81" s="20"/>
      <c r="F81" s="20"/>
      <c r="G81" s="15"/>
      <c r="H81" s="15"/>
      <c r="I81" s="15"/>
      <c r="J81" s="15"/>
      <c r="K81" s="15"/>
      <c r="L81" s="15"/>
    </row>
    <row r="82" spans="1:12" ht="15.75" x14ac:dyDescent="0.25">
      <c r="A82" s="15"/>
      <c r="B82" s="12"/>
      <c r="C82" s="12"/>
      <c r="D82" s="20"/>
      <c r="E82" s="20"/>
      <c r="F82" s="20"/>
      <c r="G82" s="15"/>
      <c r="H82" s="15"/>
      <c r="I82" s="15"/>
      <c r="J82" s="15"/>
      <c r="K82" s="15"/>
      <c r="L82" s="15"/>
    </row>
    <row r="83" spans="1:12" ht="15.75" x14ac:dyDescent="0.25">
      <c r="A83" s="15"/>
      <c r="B83" s="12"/>
      <c r="C83" s="12"/>
      <c r="D83" s="20"/>
      <c r="E83" s="20"/>
      <c r="F83" s="20"/>
      <c r="G83" s="15"/>
      <c r="H83" s="15"/>
      <c r="I83" s="15"/>
      <c r="J83" s="15"/>
      <c r="K83" s="15"/>
      <c r="L83" s="15"/>
    </row>
    <row r="84" spans="1:12" ht="15.75" x14ac:dyDescent="0.25">
      <c r="A84" s="15"/>
      <c r="B84" s="12"/>
      <c r="C84" s="12"/>
      <c r="D84" s="20"/>
      <c r="E84" s="20"/>
      <c r="F84" s="20"/>
      <c r="G84" s="15"/>
      <c r="H84" s="15"/>
      <c r="I84" s="15"/>
      <c r="J84" s="15"/>
      <c r="K84" s="15"/>
      <c r="L84" s="15"/>
    </row>
    <row r="85" spans="1:12" ht="15.75" x14ac:dyDescent="0.25">
      <c r="A85" s="15"/>
      <c r="B85" s="12"/>
      <c r="C85" s="12"/>
      <c r="D85" s="20"/>
      <c r="E85" s="20"/>
      <c r="F85" s="20"/>
      <c r="G85" s="15"/>
      <c r="H85" s="15"/>
      <c r="I85" s="15"/>
      <c r="J85" s="15"/>
      <c r="K85" s="15"/>
      <c r="L85" s="15"/>
    </row>
    <row r="86" spans="1:12" ht="15.75" x14ac:dyDescent="0.25">
      <c r="A86" s="15"/>
      <c r="B86" s="12"/>
      <c r="C86" s="12"/>
      <c r="D86" s="20"/>
      <c r="E86" s="20"/>
      <c r="F86" s="20"/>
      <c r="G86" s="15"/>
      <c r="H86" s="15"/>
      <c r="I86" s="15"/>
      <c r="J86" s="15"/>
      <c r="K86" s="15"/>
      <c r="L86" s="15"/>
    </row>
    <row r="87" spans="1:12" ht="15.75" x14ac:dyDescent="0.25">
      <c r="A87" s="15"/>
      <c r="B87" s="12"/>
      <c r="C87" s="12"/>
      <c r="D87" s="20"/>
      <c r="E87" s="20"/>
      <c r="F87" s="20"/>
      <c r="G87" s="15"/>
      <c r="H87" s="15"/>
      <c r="I87" s="15"/>
      <c r="J87" s="15"/>
      <c r="K87" s="15"/>
      <c r="L87" s="15"/>
    </row>
    <row r="88" spans="1:12" ht="15.75" x14ac:dyDescent="0.25">
      <c r="A88" s="15"/>
      <c r="B88" s="12"/>
      <c r="C88" s="12"/>
      <c r="D88" s="20"/>
      <c r="E88" s="20"/>
      <c r="F88" s="20"/>
      <c r="G88" s="15"/>
      <c r="H88" s="15"/>
      <c r="I88" s="15"/>
      <c r="J88" s="15"/>
      <c r="K88" s="15"/>
      <c r="L88" s="15"/>
    </row>
    <row r="89" spans="1:12" ht="15.75" x14ac:dyDescent="0.25">
      <c r="A89" s="15"/>
      <c r="B89" s="12"/>
      <c r="C89" s="12"/>
      <c r="D89" s="20"/>
      <c r="E89" s="20"/>
      <c r="F89" s="20"/>
      <c r="G89" s="15"/>
      <c r="H89" s="15"/>
      <c r="I89" s="15"/>
      <c r="J89" s="15"/>
      <c r="K89" s="15"/>
      <c r="L89" s="15"/>
    </row>
    <row r="90" spans="1:12" ht="15.75" x14ac:dyDescent="0.25">
      <c r="A90" s="15"/>
      <c r="B90" s="12"/>
      <c r="C90" s="12"/>
      <c r="D90" s="20"/>
      <c r="E90" s="20"/>
      <c r="F90" s="20"/>
      <c r="G90" s="15"/>
      <c r="H90" s="15"/>
      <c r="I90" s="15"/>
      <c r="J90" s="15"/>
      <c r="K90" s="15"/>
      <c r="L90" s="15"/>
    </row>
    <row r="91" spans="1:12" ht="15.75" x14ac:dyDescent="0.25">
      <c r="A91" s="15"/>
      <c r="B91" s="12"/>
      <c r="C91" s="12"/>
      <c r="D91" s="20"/>
      <c r="E91" s="20"/>
      <c r="F91" s="20"/>
      <c r="G91" s="15"/>
      <c r="H91" s="15"/>
      <c r="I91" s="15"/>
      <c r="J91" s="15"/>
      <c r="K91" s="15"/>
      <c r="L91" s="15"/>
    </row>
    <row r="92" spans="1:12" ht="15.75" x14ac:dyDescent="0.25">
      <c r="A92" s="15"/>
      <c r="B92" s="12"/>
      <c r="C92" s="12"/>
      <c r="D92" s="20"/>
      <c r="E92" s="20"/>
      <c r="F92" s="20"/>
      <c r="G92" s="15"/>
      <c r="H92" s="15"/>
      <c r="I92" s="15"/>
      <c r="J92" s="15"/>
      <c r="K92" s="15"/>
      <c r="L92" s="15"/>
    </row>
    <row r="93" spans="1:12" ht="15.75" x14ac:dyDescent="0.25">
      <c r="A93" s="15"/>
      <c r="B93" s="12"/>
      <c r="C93" s="12"/>
      <c r="D93" s="20"/>
      <c r="E93" s="20"/>
      <c r="F93" s="20"/>
      <c r="G93" s="15"/>
      <c r="H93" s="15"/>
      <c r="I93" s="15"/>
      <c r="J93" s="15"/>
      <c r="K93" s="15"/>
      <c r="L93" s="15"/>
    </row>
    <row r="94" spans="1:12" ht="15.75" x14ac:dyDescent="0.25">
      <c r="A94" s="15"/>
      <c r="B94" s="12"/>
      <c r="C94" s="12"/>
      <c r="D94" s="20"/>
      <c r="E94" s="20"/>
      <c r="F94" s="20"/>
      <c r="G94" s="15"/>
      <c r="H94" s="15"/>
      <c r="I94" s="15"/>
      <c r="J94" s="15"/>
      <c r="K94" s="15"/>
      <c r="L94" s="15"/>
    </row>
    <row r="95" spans="1:12" ht="15.75" x14ac:dyDescent="0.25">
      <c r="A95" s="15"/>
      <c r="B95" s="12"/>
      <c r="C95" s="12"/>
      <c r="D95" s="20"/>
      <c r="E95" s="20"/>
      <c r="F95" s="20"/>
      <c r="G95" s="15"/>
      <c r="H95" s="15"/>
      <c r="I95" s="15"/>
      <c r="J95" s="15"/>
      <c r="K95" s="15"/>
      <c r="L95" s="15"/>
    </row>
    <row r="96" spans="1:12" ht="15.75" x14ac:dyDescent="0.25">
      <c r="A96" s="15"/>
      <c r="B96" s="12"/>
      <c r="C96" s="12"/>
      <c r="D96" s="20"/>
      <c r="E96" s="20"/>
      <c r="F96" s="20"/>
      <c r="G96" s="15"/>
      <c r="H96" s="15"/>
      <c r="I96" s="15"/>
      <c r="J96" s="15"/>
      <c r="K96" s="15"/>
      <c r="L96" s="15"/>
    </row>
    <row r="97" spans="1:12" ht="15.75" x14ac:dyDescent="0.25">
      <c r="A97" s="15"/>
      <c r="B97" s="12"/>
      <c r="C97" s="12"/>
      <c r="D97" s="20"/>
      <c r="E97" s="20"/>
      <c r="F97" s="20"/>
      <c r="G97" s="15"/>
      <c r="H97" s="15"/>
      <c r="I97" s="15"/>
      <c r="J97" s="15"/>
      <c r="K97" s="15"/>
      <c r="L97" s="15"/>
    </row>
    <row r="98" spans="1:12" ht="15.75" x14ac:dyDescent="0.25">
      <c r="A98" s="15"/>
      <c r="B98" s="12"/>
      <c r="C98" s="12"/>
      <c r="D98" s="20"/>
      <c r="E98" s="20"/>
      <c r="F98" s="20"/>
      <c r="G98" s="15"/>
      <c r="H98" s="15"/>
      <c r="I98" s="15"/>
      <c r="J98" s="15"/>
      <c r="K98" s="15"/>
      <c r="L98" s="15"/>
    </row>
    <row r="99" spans="1:12" ht="15.75" x14ac:dyDescent="0.25">
      <c r="A99" s="15"/>
      <c r="B99" s="12"/>
      <c r="C99" s="12"/>
      <c r="D99" s="20"/>
      <c r="E99" s="20"/>
      <c r="F99" s="20"/>
      <c r="G99" s="15"/>
      <c r="H99" s="15"/>
      <c r="I99" s="15"/>
      <c r="J99" s="15"/>
      <c r="K99" s="15"/>
      <c r="L99" s="15"/>
    </row>
    <row r="100" spans="1:12" ht="15.75" x14ac:dyDescent="0.25">
      <c r="A100" s="15"/>
      <c r="B100" s="12"/>
      <c r="C100" s="12"/>
      <c r="D100" s="20"/>
      <c r="E100" s="20"/>
      <c r="F100" s="20"/>
      <c r="G100" s="15"/>
      <c r="H100" s="15"/>
      <c r="I100" s="15"/>
      <c r="J100" s="15"/>
      <c r="K100" s="15"/>
      <c r="L100" s="15"/>
    </row>
    <row r="101" spans="1:12" ht="15.75" x14ac:dyDescent="0.25">
      <c r="A101" s="15"/>
      <c r="B101" s="12"/>
      <c r="C101" s="12"/>
      <c r="D101" s="20"/>
      <c r="E101" s="20"/>
      <c r="F101" s="20"/>
      <c r="G101" s="15"/>
      <c r="H101" s="15"/>
      <c r="I101" s="15"/>
      <c r="J101" s="15"/>
      <c r="K101" s="15"/>
      <c r="L101" s="15"/>
    </row>
    <row r="102" spans="1:12" ht="15.75" x14ac:dyDescent="0.25">
      <c r="A102" s="15"/>
      <c r="B102" s="12"/>
      <c r="C102" s="12"/>
      <c r="D102" s="20"/>
      <c r="E102" s="20"/>
      <c r="F102" s="20"/>
      <c r="G102" s="15"/>
      <c r="H102" s="15"/>
      <c r="I102" s="15"/>
      <c r="J102" s="15"/>
      <c r="K102" s="15"/>
      <c r="L102" s="15"/>
    </row>
    <row r="103" spans="1:12" ht="15.75" x14ac:dyDescent="0.25">
      <c r="A103" s="15"/>
      <c r="B103" s="12"/>
      <c r="C103" s="12"/>
      <c r="D103" s="20"/>
      <c r="E103" s="20"/>
      <c r="F103" s="20"/>
      <c r="G103" s="15"/>
      <c r="H103" s="15"/>
      <c r="I103" s="15"/>
      <c r="J103" s="15"/>
      <c r="K103" s="15"/>
      <c r="L103" s="15"/>
    </row>
    <row r="104" spans="1:12" ht="15.75" x14ac:dyDescent="0.25">
      <c r="A104" s="15"/>
      <c r="B104" s="12"/>
      <c r="C104" s="12"/>
      <c r="D104" s="20"/>
      <c r="E104" s="20"/>
      <c r="F104" s="20"/>
      <c r="G104" s="15"/>
      <c r="H104" s="15"/>
      <c r="I104" s="15"/>
      <c r="J104" s="15"/>
      <c r="K104" s="15"/>
      <c r="L104" s="15"/>
    </row>
    <row r="105" spans="1:12" ht="15.75" x14ac:dyDescent="0.25">
      <c r="A105" s="15"/>
      <c r="B105" s="12"/>
      <c r="C105" s="12"/>
      <c r="D105" s="20"/>
      <c r="E105" s="20"/>
      <c r="F105" s="20"/>
      <c r="G105" s="15"/>
      <c r="H105" s="15"/>
      <c r="I105" s="15"/>
      <c r="J105" s="15"/>
      <c r="K105" s="15"/>
      <c r="L105" s="15"/>
    </row>
    <row r="106" spans="1:12" ht="15.75" x14ac:dyDescent="0.25">
      <c r="A106" s="15"/>
      <c r="B106" s="12"/>
      <c r="C106" s="12"/>
      <c r="D106" s="20"/>
      <c r="E106" s="20"/>
      <c r="F106" s="20"/>
      <c r="G106" s="15"/>
      <c r="H106" s="15"/>
      <c r="I106" s="15"/>
      <c r="J106" s="15"/>
      <c r="K106" s="15"/>
      <c r="L106" s="15"/>
    </row>
    <row r="107" spans="1:12" ht="15.75" x14ac:dyDescent="0.25">
      <c r="A107" s="15"/>
      <c r="B107" s="12"/>
      <c r="C107" s="12"/>
      <c r="D107" s="20"/>
      <c r="E107" s="20"/>
      <c r="F107" s="20"/>
      <c r="G107" s="15"/>
      <c r="H107" s="15"/>
      <c r="I107" s="15"/>
      <c r="J107" s="15"/>
      <c r="K107" s="15"/>
      <c r="L107" s="15"/>
    </row>
    <row r="108" spans="1:12" ht="15.75" x14ac:dyDescent="0.25">
      <c r="A108" s="15"/>
      <c r="B108" s="12"/>
      <c r="C108" s="12"/>
      <c r="D108" s="20"/>
      <c r="E108" s="20"/>
      <c r="F108" s="20"/>
      <c r="G108" s="15"/>
      <c r="H108" s="15"/>
      <c r="I108" s="15"/>
      <c r="J108" s="15"/>
      <c r="K108" s="15"/>
      <c r="L108" s="15"/>
    </row>
    <row r="109" spans="1:12" ht="15.75" x14ac:dyDescent="0.25">
      <c r="A109" s="15"/>
      <c r="B109" s="12"/>
      <c r="C109" s="12"/>
      <c r="D109" s="20"/>
      <c r="E109" s="20"/>
      <c r="F109" s="20"/>
      <c r="G109" s="15"/>
      <c r="H109" s="15"/>
      <c r="I109" s="15"/>
      <c r="J109" s="15"/>
      <c r="K109" s="15"/>
      <c r="L109" s="15"/>
    </row>
    <row r="110" spans="1:12" ht="15.75" x14ac:dyDescent="0.25">
      <c r="A110" s="15"/>
      <c r="B110" s="12"/>
      <c r="C110" s="12"/>
      <c r="D110" s="20"/>
      <c r="E110" s="20"/>
      <c r="F110" s="20"/>
      <c r="G110" s="15"/>
      <c r="H110" s="15"/>
      <c r="I110" s="15"/>
      <c r="J110" s="15"/>
      <c r="K110" s="15"/>
      <c r="L110" s="15"/>
    </row>
    <row r="111" spans="1:12" ht="15.75" x14ac:dyDescent="0.25">
      <c r="A111" s="15"/>
      <c r="B111" s="12"/>
      <c r="C111" s="12"/>
      <c r="D111" s="20"/>
      <c r="E111" s="20"/>
      <c r="F111" s="20"/>
      <c r="G111" s="15"/>
      <c r="H111" s="15"/>
      <c r="I111" s="15"/>
      <c r="J111" s="15"/>
      <c r="K111" s="15"/>
      <c r="L111" s="15"/>
    </row>
    <row r="112" spans="1:12" ht="15.75" x14ac:dyDescent="0.25">
      <c r="A112" s="15"/>
      <c r="B112" s="12"/>
      <c r="C112" s="12"/>
      <c r="D112" s="20"/>
      <c r="E112" s="20"/>
      <c r="F112" s="20"/>
      <c r="G112" s="15"/>
      <c r="H112" s="15"/>
      <c r="I112" s="15"/>
      <c r="J112" s="15"/>
      <c r="K112" s="15"/>
      <c r="L112" s="15"/>
    </row>
    <row r="113" spans="1:12" ht="15.75" x14ac:dyDescent="0.25">
      <c r="A113" s="15"/>
      <c r="B113" s="12"/>
      <c r="C113" s="12"/>
      <c r="D113" s="20"/>
      <c r="E113" s="20"/>
      <c r="F113" s="20"/>
      <c r="G113" s="15"/>
      <c r="H113" s="15"/>
      <c r="I113" s="15"/>
      <c r="J113" s="15"/>
      <c r="K113" s="15"/>
      <c r="L113" s="15"/>
    </row>
    <row r="114" spans="1:12" ht="15.75" x14ac:dyDescent="0.25">
      <c r="A114" s="15"/>
      <c r="B114" s="12"/>
      <c r="C114" s="12"/>
      <c r="D114" s="20"/>
      <c r="E114" s="20"/>
      <c r="F114" s="20"/>
      <c r="G114" s="15"/>
      <c r="H114" s="15"/>
      <c r="I114" s="15"/>
      <c r="J114" s="15"/>
      <c r="K114" s="15"/>
      <c r="L114" s="15"/>
    </row>
    <row r="115" spans="1:12" ht="15.75" x14ac:dyDescent="0.25">
      <c r="A115" s="15"/>
      <c r="B115" s="12"/>
      <c r="C115" s="12"/>
      <c r="D115" s="20"/>
      <c r="E115" s="20"/>
      <c r="F115" s="20"/>
      <c r="G115" s="15"/>
      <c r="H115" s="15"/>
      <c r="I115" s="15"/>
      <c r="J115" s="15"/>
      <c r="K115" s="15"/>
      <c r="L115" s="15"/>
    </row>
    <row r="116" spans="1:12" ht="15.75" x14ac:dyDescent="0.25">
      <c r="A116" s="15"/>
      <c r="B116" s="12"/>
      <c r="C116" s="12"/>
      <c r="D116" s="20"/>
      <c r="E116" s="20"/>
      <c r="F116" s="20"/>
      <c r="G116" s="15"/>
      <c r="H116" s="15"/>
      <c r="I116" s="15"/>
      <c r="J116" s="15"/>
      <c r="K116" s="15"/>
      <c r="L116" s="15"/>
    </row>
    <row r="117" spans="1:12" ht="15.75" x14ac:dyDescent="0.25">
      <c r="A117" s="15"/>
      <c r="B117" s="12"/>
      <c r="C117" s="12"/>
      <c r="D117" s="20"/>
      <c r="E117" s="20"/>
      <c r="F117" s="20"/>
      <c r="G117" s="15"/>
      <c r="H117" s="15"/>
      <c r="I117" s="15"/>
      <c r="J117" s="15"/>
      <c r="K117" s="15"/>
      <c r="L117" s="15"/>
    </row>
    <row r="118" spans="1:12" ht="15.75" x14ac:dyDescent="0.25">
      <c r="A118" s="15"/>
      <c r="B118" s="12"/>
      <c r="C118" s="12"/>
      <c r="D118" s="20"/>
      <c r="E118" s="20"/>
      <c r="F118" s="20"/>
      <c r="G118" s="15"/>
      <c r="H118" s="15"/>
      <c r="I118" s="15"/>
      <c r="J118" s="15"/>
      <c r="K118" s="15"/>
      <c r="L118" s="15"/>
    </row>
    <row r="119" spans="1:12" ht="15.75" x14ac:dyDescent="0.25">
      <c r="A119" s="15"/>
      <c r="B119" s="12"/>
      <c r="C119" s="12"/>
      <c r="D119" s="20"/>
      <c r="E119" s="20"/>
      <c r="F119" s="20"/>
      <c r="G119" s="15"/>
      <c r="H119" s="15"/>
      <c r="I119" s="15"/>
      <c r="J119" s="15"/>
      <c r="K119" s="15"/>
      <c r="L119" s="15"/>
    </row>
    <row r="120" spans="1:12" ht="15.75" x14ac:dyDescent="0.25">
      <c r="A120" s="15"/>
      <c r="B120" s="12"/>
      <c r="C120" s="12"/>
      <c r="D120" s="20"/>
      <c r="E120" s="20"/>
      <c r="F120" s="20"/>
      <c r="G120" s="15"/>
      <c r="H120" s="15"/>
      <c r="I120" s="15"/>
      <c r="J120" s="15"/>
      <c r="K120" s="15"/>
      <c r="L120" s="15"/>
    </row>
    <row r="121" spans="1:12" ht="15.75" x14ac:dyDescent="0.25">
      <c r="A121" s="15"/>
      <c r="B121" s="12"/>
      <c r="C121" s="12"/>
      <c r="D121" s="20"/>
      <c r="E121" s="20"/>
      <c r="F121" s="20"/>
      <c r="G121" s="15"/>
      <c r="H121" s="15"/>
      <c r="I121" s="15"/>
      <c r="J121" s="15"/>
      <c r="K121" s="15"/>
      <c r="L121" s="15"/>
    </row>
    <row r="122" spans="1:12" ht="15.75" x14ac:dyDescent="0.25">
      <c r="A122" s="15"/>
      <c r="B122" s="12"/>
      <c r="C122" s="12"/>
      <c r="D122" s="20"/>
      <c r="E122" s="20"/>
      <c r="F122" s="20"/>
      <c r="G122" s="15"/>
      <c r="H122" s="15"/>
      <c r="I122" s="15"/>
      <c r="J122" s="15"/>
      <c r="K122" s="15"/>
      <c r="L122" s="15"/>
    </row>
    <row r="123" spans="1:12" ht="15.75" x14ac:dyDescent="0.25">
      <c r="A123" s="15"/>
      <c r="G123" s="15"/>
      <c r="H123" s="15"/>
      <c r="I123" s="15"/>
      <c r="J123" s="15"/>
      <c r="K123" s="15"/>
      <c r="L123" s="15"/>
    </row>
  </sheetData>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28"/>
  <sheetViews>
    <sheetView showGridLines="0" zoomScale="96" zoomScaleNormal="96" workbookViewId="0">
      <selection activeCell="F21" sqref="F21"/>
    </sheetView>
  </sheetViews>
  <sheetFormatPr baseColWidth="10" defaultColWidth="11.42578125" defaultRowHeight="15" x14ac:dyDescent="0.25"/>
  <cols>
    <col min="1" max="1" width="11.42578125" style="1"/>
    <col min="2" max="2" width="38.5703125" style="1" customWidth="1"/>
    <col min="3" max="3" width="16.5703125" style="2" bestFit="1" customWidth="1"/>
    <col min="4" max="4" width="17.7109375" style="2" customWidth="1"/>
    <col min="5" max="8" width="17.7109375" style="2" bestFit="1" customWidth="1"/>
    <col min="9" max="9" width="17.7109375" style="1" bestFit="1" customWidth="1"/>
    <col min="10" max="10" width="11.42578125" style="1"/>
    <col min="11" max="11" width="18.7109375" style="1" customWidth="1"/>
    <col min="12" max="12" width="17.7109375" style="1" bestFit="1" customWidth="1"/>
    <col min="13" max="13" width="11.7109375" style="1" bestFit="1" customWidth="1"/>
    <col min="14" max="14" width="13" style="1" customWidth="1"/>
    <col min="15" max="16384" width="11.42578125" style="1"/>
  </cols>
  <sheetData>
    <row r="1" spans="1:13" x14ac:dyDescent="0.25">
      <c r="L1" s="264"/>
      <c r="M1" s="264"/>
    </row>
    <row r="2" spans="1:13" ht="15.75" x14ac:dyDescent="0.25">
      <c r="A2" s="15"/>
      <c r="B2" s="19" t="s">
        <v>221</v>
      </c>
      <c r="C2" s="20"/>
      <c r="D2" s="20"/>
      <c r="E2" s="20"/>
      <c r="F2" s="20"/>
      <c r="G2" s="20"/>
      <c r="H2" s="20"/>
      <c r="I2" s="15"/>
      <c r="J2" s="15"/>
      <c r="K2" s="15"/>
      <c r="L2" s="264"/>
      <c r="M2" s="16"/>
    </row>
    <row r="3" spans="1:13" ht="15.75" x14ac:dyDescent="0.25">
      <c r="A3" s="15"/>
      <c r="B3" s="19" t="s">
        <v>52</v>
      </c>
      <c r="C3" s="20"/>
      <c r="D3" s="20"/>
      <c r="E3" s="20"/>
      <c r="F3" s="20"/>
      <c r="G3" s="20"/>
      <c r="H3" s="20"/>
      <c r="I3" s="15"/>
      <c r="J3" s="15"/>
      <c r="K3" s="15"/>
      <c r="L3" s="264"/>
      <c r="M3" s="16"/>
    </row>
    <row r="4" spans="1:13" ht="15.75" x14ac:dyDescent="0.25">
      <c r="A4" s="15"/>
      <c r="B4" s="15"/>
      <c r="C4" s="20"/>
      <c r="D4" s="20"/>
      <c r="E4" s="20"/>
      <c r="F4" s="20"/>
      <c r="G4" s="20"/>
      <c r="H4" s="20"/>
      <c r="I4" s="15"/>
      <c r="J4" s="15"/>
      <c r="K4" s="15"/>
      <c r="L4" s="264"/>
      <c r="M4" s="16"/>
    </row>
    <row r="5" spans="1:13" ht="15.75" x14ac:dyDescent="0.25">
      <c r="A5" s="15"/>
      <c r="B5" s="15" t="s">
        <v>222</v>
      </c>
      <c r="C5" s="20"/>
      <c r="D5" s="20"/>
      <c r="E5" s="20"/>
      <c r="F5" s="20"/>
      <c r="G5" s="20"/>
      <c r="H5" s="20"/>
      <c r="I5" s="15"/>
      <c r="J5" s="15"/>
      <c r="K5" s="15"/>
      <c r="L5" s="264"/>
      <c r="M5" s="16"/>
    </row>
    <row r="6" spans="1:13" ht="15.75" x14ac:dyDescent="0.25">
      <c r="A6" s="15"/>
      <c r="B6" s="146" t="s">
        <v>136</v>
      </c>
      <c r="C6" s="174" t="s">
        <v>223</v>
      </c>
      <c r="D6" s="174" t="s">
        <v>37</v>
      </c>
      <c r="E6" s="174" t="s">
        <v>38</v>
      </c>
      <c r="F6" s="174" t="s">
        <v>39</v>
      </c>
      <c r="G6" s="174" t="s">
        <v>40</v>
      </c>
      <c r="H6" s="174" t="s">
        <v>41</v>
      </c>
      <c r="I6" s="175" t="s">
        <v>224</v>
      </c>
      <c r="J6" s="15"/>
      <c r="K6" s="15"/>
      <c r="L6" s="263" t="s">
        <v>225</v>
      </c>
      <c r="M6" s="263" t="s">
        <v>100</v>
      </c>
    </row>
    <row r="7" spans="1:13" ht="15.75" x14ac:dyDescent="0.25">
      <c r="A7" s="15"/>
      <c r="B7" s="171" t="s">
        <v>226</v>
      </c>
      <c r="C7" s="172">
        <v>50000</v>
      </c>
      <c r="D7" s="172">
        <f>(Tabla13GastosAdm[[#This Row],[Año 0]]*$M$7)+Tabla13GastosAdm[[#This Row],[Año 0]]</f>
        <v>641640</v>
      </c>
      <c r="E7" s="172">
        <f>(Tabla13GastosAdm[[#This Row],[Año 1]]*$M$8)+Tabla13GastosAdm[[#This Row],[Año 1]]</f>
        <v>690212.14800000004</v>
      </c>
      <c r="F7" s="172">
        <f>(Tabla13GastosAdm[[#This Row],[Año 2]]*$M$9)+Tabla13GastosAdm[[#This Row],[Año 2]]</f>
        <v>751295.923098</v>
      </c>
      <c r="G7" s="172">
        <f>(Tabla13GastosAdm[[#This Row],[Año 3]]*$M$10)+Tabla13GastosAdm[[#This Row],[Año 3]]</f>
        <v>822593.9062000002</v>
      </c>
      <c r="H7" s="172">
        <f>(Tabla13GastosAdm[[#This Row],[Año 4]]*$M$11)+Tabla13GastosAdm[[#This Row],[Año 4]]</f>
        <v>894735.39177374018</v>
      </c>
      <c r="I7" s="173">
        <f>Tabla13GastosAdm[[#This Row],[Costo (Mes)]]*12</f>
        <v>600000</v>
      </c>
      <c r="J7" s="15"/>
      <c r="K7" s="15"/>
      <c r="L7" s="83">
        <v>2023</v>
      </c>
      <c r="M7" s="86">
        <f>VentasAños!E12</f>
        <v>6.9400000000000003E-2</v>
      </c>
    </row>
    <row r="8" spans="1:13" ht="15.75" x14ac:dyDescent="0.25">
      <c r="A8" s="15"/>
      <c r="B8" s="171" t="s">
        <v>227</v>
      </c>
      <c r="C8" s="172">
        <f>(Tabla10Maquinaria[[#Totals],[Subtotal]]*2%)/12</f>
        <v>124192.94666666667</v>
      </c>
      <c r="D8" s="172">
        <f>(Tabla13GastosAdm[[#This Row],[Año 0]]*$M$7)+Tabla13GastosAdm[[#This Row],[Año 0]]</f>
        <v>1593743.2459840002</v>
      </c>
      <c r="E8" s="172">
        <f>(Tabla13GastosAdm[[#This Row],[Año 1]]*$M$8)+Tabla13GastosAdm[[#This Row],[Año 1]]</f>
        <v>1714389.609704989</v>
      </c>
      <c r="F8" s="172">
        <f>(Tabla13GastosAdm[[#This Row],[Año 2]]*$M$9)+Tabla13GastosAdm[[#This Row],[Año 2]]</f>
        <v>1866113.0901638805</v>
      </c>
      <c r="G8" s="172">
        <f>(Tabla13GastosAdm[[#This Row],[Año 3]]*$M$10)+Tabla13GastosAdm[[#This Row],[Año 3]]</f>
        <v>2043207.2224204328</v>
      </c>
      <c r="H8" s="172">
        <f>(Tabla13GastosAdm[[#This Row],[Año 4]]*$M$11)+Tabla13GastosAdm[[#This Row],[Año 4]]</f>
        <v>2222396.4958267049</v>
      </c>
      <c r="I8" s="173">
        <f>Tabla13GastosAdm[[#This Row],[Costo (Mes)]]*12</f>
        <v>1490315.36</v>
      </c>
      <c r="J8" s="15"/>
      <c r="K8" s="15"/>
      <c r="L8" s="83">
        <v>2024</v>
      </c>
      <c r="M8" s="86">
        <f>VentasAños!E13</f>
        <v>7.5700000000000003E-2</v>
      </c>
    </row>
    <row r="9" spans="1:13" ht="15.75" x14ac:dyDescent="0.25">
      <c r="A9" s="15"/>
      <c r="B9" s="151" t="s">
        <v>66</v>
      </c>
      <c r="C9" s="176"/>
      <c r="D9" s="176">
        <f>SUM(D7:D8)</f>
        <v>2235383.2459840002</v>
      </c>
      <c r="E9" s="176">
        <f t="shared" ref="E9:F9" si="0">SUM(E7:E8)</f>
        <v>2404601.7577049891</v>
      </c>
      <c r="F9" s="176">
        <f t="shared" si="0"/>
        <v>2617409.0132618807</v>
      </c>
      <c r="G9" s="176">
        <f>SUM(G7:G8)</f>
        <v>2865801.1286204332</v>
      </c>
      <c r="H9" s="176">
        <f>SUM(H7:H8)</f>
        <v>3117131.8876004452</v>
      </c>
      <c r="I9" s="177">
        <f>SUM(I7:I8)</f>
        <v>2090315.36</v>
      </c>
      <c r="J9" s="15"/>
      <c r="K9" s="15"/>
      <c r="L9" s="83">
        <v>2025</v>
      </c>
      <c r="M9" s="86">
        <f>VentasAños!E14</f>
        <v>8.8499999999999995E-2</v>
      </c>
    </row>
    <row r="10" spans="1:13" ht="15.75" x14ac:dyDescent="0.25">
      <c r="A10" s="15"/>
      <c r="B10" s="15"/>
      <c r="C10" s="20"/>
      <c r="D10" s="20"/>
      <c r="E10" s="20"/>
      <c r="F10" s="20"/>
      <c r="G10" s="20"/>
      <c r="H10" s="20"/>
      <c r="I10" s="15"/>
      <c r="J10" s="15"/>
      <c r="K10" s="15"/>
      <c r="L10" s="83">
        <v>2026</v>
      </c>
      <c r="M10" s="86">
        <f>VentasAños!E15</f>
        <v>9.4899999999999998E-2</v>
      </c>
    </row>
    <row r="11" spans="1:13" ht="15.75" x14ac:dyDescent="0.25">
      <c r="A11" s="15"/>
      <c r="B11" s="15" t="s">
        <v>228</v>
      </c>
      <c r="C11" s="20"/>
      <c r="D11" s="20"/>
      <c r="E11" s="20"/>
      <c r="F11" s="20"/>
      <c r="G11" s="20"/>
      <c r="H11" s="20"/>
      <c r="I11" s="15"/>
      <c r="J11" s="15"/>
      <c r="K11" s="15"/>
      <c r="L11" s="83">
        <v>2027</v>
      </c>
      <c r="M11" s="86">
        <f>VentasAños!E16</f>
        <v>8.77E-2</v>
      </c>
    </row>
    <row r="12" spans="1:13" ht="15.75" x14ac:dyDescent="0.25">
      <c r="A12" s="15"/>
      <c r="B12" s="146" t="s">
        <v>136</v>
      </c>
      <c r="C12" s="163" t="s">
        <v>223</v>
      </c>
      <c r="D12" s="163" t="s">
        <v>37</v>
      </c>
      <c r="E12" s="163" t="s">
        <v>38</v>
      </c>
      <c r="F12" s="163" t="s">
        <v>39</v>
      </c>
      <c r="G12" s="163" t="s">
        <v>40</v>
      </c>
      <c r="H12" s="163" t="s">
        <v>41</v>
      </c>
      <c r="I12" s="164" t="s">
        <v>224</v>
      </c>
      <c r="J12" s="15"/>
      <c r="K12" s="15"/>
      <c r="L12" s="15"/>
      <c r="M12" s="15"/>
    </row>
    <row r="13" spans="1:13" ht="15.75" x14ac:dyDescent="0.25">
      <c r="A13" s="15"/>
      <c r="B13" s="171" t="s">
        <v>229</v>
      </c>
      <c r="C13" s="139">
        <v>93400</v>
      </c>
      <c r="D13" s="139">
        <f>(Tabla14GastosVentas[Año 0]*M7)+Tabla14GastosVentas[Año 0]</f>
        <v>1198583.52</v>
      </c>
      <c r="E13" s="139">
        <f>(Tabla14GastosVentas[Año 1]*M8)+Tabla14GastosVentas[Año 1]</f>
        <v>1289316.2924639999</v>
      </c>
      <c r="F13" s="139">
        <f>(Tabla14GastosVentas[Año 2]*M9)+Tabla14GastosVentas[Año 2]</f>
        <v>1403420.7843470639</v>
      </c>
      <c r="G13" s="139">
        <f>(Tabla14GastosVentas[Año 3]*M10)+Tabla14GastosVentas[Año 3]</f>
        <v>1536605.4167816001</v>
      </c>
      <c r="H13" s="139">
        <f>(Tabla14GastosVentas[Año 4]*M11)+Tabla14GastosVentas[Año 4]</f>
        <v>1671365.7118333464</v>
      </c>
      <c r="I13" s="140">
        <f>Tabla14GastosVentas[Costo (Mes)]*12</f>
        <v>1120800</v>
      </c>
      <c r="J13" s="15"/>
      <c r="K13" s="15"/>
      <c r="L13" s="15"/>
      <c r="M13" s="15"/>
    </row>
    <row r="14" spans="1:13" ht="15.75" x14ac:dyDescent="0.25">
      <c r="A14" s="15"/>
      <c r="B14" s="151" t="s">
        <v>66</v>
      </c>
      <c r="C14" s="168">
        <f>Tabla14GastosVentas[Costo (Mes)]</f>
        <v>93400</v>
      </c>
      <c r="D14" s="168">
        <f>Tabla14GastosVentas[Año 1]</f>
        <v>1198583.52</v>
      </c>
      <c r="E14" s="168">
        <f>Tabla14GastosVentas[Año 2]</f>
        <v>1289316.2924639999</v>
      </c>
      <c r="F14" s="168">
        <f>Tabla14GastosVentas[Año 3]</f>
        <v>1403420.7843470639</v>
      </c>
      <c r="G14" s="168">
        <f>Tabla14GastosVentas[Año 4]</f>
        <v>1536605.4167816001</v>
      </c>
      <c r="H14" s="168">
        <f>Tabla14GastosVentas[Año 5]</f>
        <v>1671365.7118333464</v>
      </c>
      <c r="I14" s="169">
        <f>Tabla14GastosVentas[Año 0]</f>
        <v>1120800</v>
      </c>
      <c r="J14" s="15"/>
      <c r="K14" s="15"/>
      <c r="L14" s="15"/>
      <c r="M14" s="15"/>
    </row>
    <row r="15" spans="1:13" ht="15.75" x14ac:dyDescent="0.25">
      <c r="A15" s="15"/>
      <c r="B15" s="15"/>
      <c r="C15" s="20"/>
      <c r="D15" s="20"/>
      <c r="E15" s="20"/>
      <c r="F15" s="20"/>
      <c r="G15" s="20"/>
      <c r="H15" s="20"/>
      <c r="I15" s="15"/>
      <c r="J15" s="15"/>
      <c r="K15" s="15"/>
      <c r="L15" s="15"/>
      <c r="M15" s="15"/>
    </row>
    <row r="16" spans="1:13" ht="15.75" x14ac:dyDescent="0.25">
      <c r="A16" s="15"/>
      <c r="B16" s="15" t="s">
        <v>230</v>
      </c>
      <c r="C16" s="20"/>
      <c r="D16" s="20"/>
      <c r="E16" s="20"/>
      <c r="F16" s="20"/>
      <c r="G16" s="20"/>
      <c r="H16" s="20"/>
      <c r="I16" s="15"/>
      <c r="J16" s="15"/>
      <c r="K16" s="15"/>
      <c r="L16" s="15"/>
      <c r="M16" s="15"/>
    </row>
    <row r="17" spans="1:14" ht="15.75" x14ac:dyDescent="0.25">
      <c r="A17" s="15"/>
      <c r="B17" s="146" t="s">
        <v>136</v>
      </c>
      <c r="C17" s="163" t="s">
        <v>223</v>
      </c>
      <c r="D17" s="163" t="s">
        <v>37</v>
      </c>
      <c r="E17" s="163" t="s">
        <v>38</v>
      </c>
      <c r="F17" s="163" t="s">
        <v>39</v>
      </c>
      <c r="G17" s="163" t="s">
        <v>40</v>
      </c>
      <c r="H17" s="163" t="s">
        <v>41</v>
      </c>
      <c r="I17" s="164" t="s">
        <v>224</v>
      </c>
      <c r="J17" s="15"/>
      <c r="K17" s="293" t="s">
        <v>569</v>
      </c>
      <c r="L17" s="293"/>
      <c r="M17" s="293"/>
      <c r="N17" s="293"/>
    </row>
    <row r="18" spans="1:14" ht="15.75" x14ac:dyDescent="0.25">
      <c r="A18" s="15"/>
      <c r="B18" s="171" t="s">
        <v>231</v>
      </c>
      <c r="C18" s="139">
        <f>N28</f>
        <v>3382564.4841269846</v>
      </c>
      <c r="D18" s="139">
        <f>(Tabla15GastosOpera[[#This Row],[Año 0]]*$M$7)+Tabla15GastosOpera[[#This Row],[Año 0]]</f>
        <v>43407773.511904769</v>
      </c>
      <c r="E18" s="139">
        <f>(Tabla15GastosOpera[[#This Row],[Año 1]]*$M$8)+Tabla15GastosOpera[[#This Row],[Año 1]]</f>
        <v>46693741.966755956</v>
      </c>
      <c r="F18" s="139">
        <f>(Tabla15GastosOpera[[#This Row],[Año 2]]*$M$9)+Tabla15GastosOpera[[#This Row],[Año 2]]</f>
        <v>50826138.130813859</v>
      </c>
      <c r="G18" s="139">
        <f>(Tabla15GastosOpera[[#This Row],[Año 3]]*$M$10)+Tabla15GastosOpera[[#This Row],[Año 3]]</f>
        <v>55649538.639428094</v>
      </c>
      <c r="H18" s="139">
        <f>(Tabla15GastosOpera[[#This Row],[Año 4]]*$M$11)+Tabla15GastosOpera[[#This Row],[Año 4]]</f>
        <v>60530003.178105935</v>
      </c>
      <c r="I18" s="140">
        <f>Tabla15GastosOpera[[#This Row],[Costo (Mes)]]*12</f>
        <v>40590773.809523813</v>
      </c>
      <c r="J18" s="15"/>
      <c r="K18" s="265" t="s">
        <v>570</v>
      </c>
      <c r="L18" s="265" t="s">
        <v>567</v>
      </c>
      <c r="M18" s="265" t="s">
        <v>572</v>
      </c>
      <c r="N18" s="271" t="s">
        <v>568</v>
      </c>
    </row>
    <row r="19" spans="1:14" ht="15.75" x14ac:dyDescent="0.25">
      <c r="A19" s="15"/>
      <c r="B19" s="171" t="s">
        <v>232</v>
      </c>
      <c r="C19" s="139">
        <v>60000</v>
      </c>
      <c r="D19" s="139">
        <f>(Tabla15GastosOpera[[#This Row],[Año 0]]*$M$7)+Tabla15GastosOpera[[#This Row],[Año 0]]</f>
        <v>769968</v>
      </c>
      <c r="E19" s="139">
        <f>(Tabla15GastosOpera[[#This Row],[Año 1]]*$M$8)+Tabla15GastosOpera[[#This Row],[Año 1]]</f>
        <v>828254.57759999996</v>
      </c>
      <c r="F19" s="139">
        <f>(Tabla15GastosOpera[[#This Row],[Año 2]]*$M$9)+Tabla15GastosOpera[[#This Row],[Año 2]]</f>
        <v>901555.10771759995</v>
      </c>
      <c r="G19" s="139">
        <f>(Tabla15GastosOpera[[#This Row],[Año 3]]*$M$10)+Tabla15GastosOpera[[#This Row],[Año 3]]</f>
        <v>987112.68744000024</v>
      </c>
      <c r="H19" s="139">
        <f>(Tabla15GastosOpera[[#This Row],[Año 4]]*$M$11)+Tabla15GastosOpera[[#This Row],[Año 4]]</f>
        <v>1073682.4701284883</v>
      </c>
      <c r="I19" s="140">
        <f>Tabla15GastosOpera[[#This Row],[Costo (Mes)]]*12</f>
        <v>720000</v>
      </c>
      <c r="J19" s="15"/>
      <c r="K19" s="16" t="s">
        <v>571</v>
      </c>
      <c r="L19" s="21">
        <v>1100000</v>
      </c>
      <c r="M19" s="16">
        <v>100</v>
      </c>
      <c r="N19" s="268">
        <f>L19/M19</f>
        <v>11000</v>
      </c>
    </row>
    <row r="20" spans="1:14" ht="15.75" x14ac:dyDescent="0.25">
      <c r="A20" s="15"/>
      <c r="B20" s="171" t="s">
        <v>233</v>
      </c>
      <c r="C20" s="139">
        <v>110000</v>
      </c>
      <c r="D20" s="139">
        <f>(Tabla15GastosOpera[[#This Row],[Año 0]]*$M$7)+Tabla15GastosOpera[[#This Row],[Año 0]]</f>
        <v>1411608</v>
      </c>
      <c r="E20" s="139">
        <f>(Tabla15GastosOpera[[#This Row],[Año 1]]*$M$8)+Tabla15GastosOpera[[#This Row],[Año 1]]</f>
        <v>1518466.7256</v>
      </c>
      <c r="F20" s="139">
        <f>(Tabla15GastosOpera[[#This Row],[Año 2]]*$M$9)+Tabla15GastosOpera[[#This Row],[Año 2]]</f>
        <v>1652851.0308156</v>
      </c>
      <c r="G20" s="139">
        <f>(Tabla15GastosOpera[[#This Row],[Año 3]]*$M$10)+Tabla15GastosOpera[[#This Row],[Año 3]]</f>
        <v>1809706.5936400003</v>
      </c>
      <c r="H20" s="139">
        <f>(Tabla15GastosOpera[[#This Row],[Año 4]]*$M$11)+Tabla15GastosOpera[[#This Row],[Año 4]]</f>
        <v>1968417.8619022283</v>
      </c>
      <c r="I20" s="140">
        <f>Tabla15GastosOpera[[#This Row],[Costo (Mes)]]*12</f>
        <v>1320000</v>
      </c>
      <c r="J20" s="15"/>
      <c r="K20" s="16" t="s">
        <v>573</v>
      </c>
      <c r="L20" s="21">
        <v>1800000</v>
      </c>
      <c r="M20" s="16">
        <v>90</v>
      </c>
      <c r="N20" s="268">
        <f t="shared" ref="N20:N26" si="1">L20/M20</f>
        <v>20000</v>
      </c>
    </row>
    <row r="21" spans="1:14" ht="15.75" x14ac:dyDescent="0.25">
      <c r="A21" s="15"/>
      <c r="B21" s="171" t="s">
        <v>234</v>
      </c>
      <c r="C21" s="139">
        <v>250000</v>
      </c>
      <c r="D21" s="139">
        <f>(Tabla15GastosOpera[[#This Row],[Año 0]]*$M$7)+Tabla15GastosOpera[[#This Row],[Año 0]]</f>
        <v>3208200</v>
      </c>
      <c r="E21" s="139">
        <f>(Tabla15GastosOpera[[#This Row],[Año 1]]*$M$8)+Tabla15GastosOpera[[#This Row],[Año 1]]</f>
        <v>3451060.74</v>
      </c>
      <c r="F21" s="139">
        <f>(Tabla15GastosOpera[[#This Row],[Año 2]]*$M$9)+Tabla15GastosOpera[[#This Row],[Año 2]]</f>
        <v>3756479.6154900002</v>
      </c>
      <c r="G21" s="139">
        <f>(Tabla15GastosOpera[[#This Row],[Año 3]]*$M$10)+Tabla15GastosOpera[[#This Row],[Año 3]]</f>
        <v>4112969.5310000014</v>
      </c>
      <c r="H21" s="139">
        <f>(Tabla15GastosOpera[[#This Row],[Año 4]]*$M$11)+Tabla15GastosOpera[[#This Row],[Año 4]]</f>
        <v>4473676.958868701</v>
      </c>
      <c r="I21" s="140">
        <f>Tabla15GastosOpera[[#This Row],[Costo (Mes)]]*12</f>
        <v>3000000</v>
      </c>
      <c r="J21" s="15"/>
      <c r="K21" s="16" t="s">
        <v>574</v>
      </c>
      <c r="L21" s="21">
        <v>15000000</v>
      </c>
      <c r="M21" s="16">
        <v>1200</v>
      </c>
      <c r="N21" s="268">
        <f t="shared" si="1"/>
        <v>12500</v>
      </c>
    </row>
    <row r="22" spans="1:14" ht="15.75" x14ac:dyDescent="0.25">
      <c r="A22" s="15"/>
      <c r="B22" s="171" t="s">
        <v>235</v>
      </c>
      <c r="C22" s="139">
        <v>40000</v>
      </c>
      <c r="D22" s="139">
        <f>(Tabla15GastosOpera[[#This Row],[Año 0]]*$M$7)+Tabla15GastosOpera[[#This Row],[Año 0]]</f>
        <v>513312</v>
      </c>
      <c r="E22" s="139">
        <f>(Tabla15GastosOpera[[#This Row],[Año 1]]*$M$8)+Tabla15GastosOpera[[#This Row],[Año 1]]</f>
        <v>552169.71840000001</v>
      </c>
      <c r="F22" s="139">
        <f>(Tabla15GastosOpera[[#This Row],[Año 2]]*$M$9)+Tabla15GastosOpera[[#This Row],[Año 2]]</f>
        <v>601036.73847840005</v>
      </c>
      <c r="G22" s="139">
        <f>(Tabla15GastosOpera[[#This Row],[Año 3]]*$M$10)+Tabla15GastosOpera[[#This Row],[Año 3]]</f>
        <v>658075.12496000016</v>
      </c>
      <c r="H22" s="139">
        <f>(Tabla15GastosOpera[[#This Row],[Año 4]]*$M$11)+Tabla15GastosOpera[[#This Row],[Año 4]]</f>
        <v>715788.31341899221</v>
      </c>
      <c r="I22" s="140">
        <f>Tabla15GastosOpera[[#This Row],[Costo (Mes)]]*12</f>
        <v>480000</v>
      </c>
      <c r="J22" s="15"/>
      <c r="K22" s="16" t="s">
        <v>573</v>
      </c>
      <c r="L22" s="21">
        <v>1500000</v>
      </c>
      <c r="M22" s="16">
        <v>105</v>
      </c>
      <c r="N22" s="268">
        <f t="shared" si="1"/>
        <v>14285.714285714286</v>
      </c>
    </row>
    <row r="23" spans="1:14" ht="15.75" x14ac:dyDescent="0.25">
      <c r="A23" s="15"/>
      <c r="B23" s="171" t="s">
        <v>236</v>
      </c>
      <c r="C23" s="139">
        <v>30000</v>
      </c>
      <c r="D23" s="139">
        <f>(Tabla15GastosOpera[[#This Row],[Año 0]]*$M$7)+Tabla15GastosOpera[[#This Row],[Año 0]]</f>
        <v>384984</v>
      </c>
      <c r="E23" s="139">
        <f>(Tabla15GastosOpera[[#This Row],[Año 1]]*$M$8)+Tabla15GastosOpera[[#This Row],[Año 1]]</f>
        <v>414127.28879999998</v>
      </c>
      <c r="F23" s="139">
        <f>(Tabla15GastosOpera[[#This Row],[Año 2]]*$M$9)+Tabla15GastosOpera[[#This Row],[Año 2]]</f>
        <v>450777.55385879998</v>
      </c>
      <c r="G23" s="139">
        <f>(Tabla15GastosOpera[[#This Row],[Año 3]]*$M$10)+Tabla15GastosOpera[[#This Row],[Año 3]]</f>
        <v>493556.34372000012</v>
      </c>
      <c r="H23" s="139">
        <f>(Tabla15GastosOpera[[#This Row],[Año 4]]*$M$11)+Tabla15GastosOpera[[#This Row],[Año 4]]</f>
        <v>536841.23506424413</v>
      </c>
      <c r="I23" s="140">
        <f>Tabla15GastosOpera[[#This Row],[Costo (Mes)]]*12</f>
        <v>360000</v>
      </c>
      <c r="J23" s="15"/>
      <c r="K23" s="16" t="s">
        <v>571</v>
      </c>
      <c r="L23" s="21">
        <v>3600000</v>
      </c>
      <c r="M23" s="16">
        <v>320</v>
      </c>
      <c r="N23" s="268">
        <f t="shared" si="1"/>
        <v>11250</v>
      </c>
    </row>
    <row r="24" spans="1:14" ht="15.75" x14ac:dyDescent="0.25">
      <c r="A24" s="15"/>
      <c r="B24" s="151" t="s">
        <v>66</v>
      </c>
      <c r="C24" s="168">
        <f t="shared" ref="C24:I24" si="2">SUM(C18:C23)</f>
        <v>3872564.4841269846</v>
      </c>
      <c r="D24" s="168">
        <f t="shared" si="2"/>
        <v>49695845.511904769</v>
      </c>
      <c r="E24" s="168">
        <f t="shared" si="2"/>
        <v>53457821.01715596</v>
      </c>
      <c r="F24" s="168">
        <f t="shared" si="2"/>
        <v>58188838.177174263</v>
      </c>
      <c r="G24" s="168">
        <f t="shared" si="2"/>
        <v>63710958.920188092</v>
      </c>
      <c r="H24" s="168">
        <f t="shared" si="2"/>
        <v>69298410.017488599</v>
      </c>
      <c r="I24" s="169">
        <f t="shared" si="2"/>
        <v>46470773.809523813</v>
      </c>
      <c r="J24" s="15"/>
      <c r="K24" s="16" t="s">
        <v>575</v>
      </c>
      <c r="L24" s="269">
        <v>4000000</v>
      </c>
      <c r="M24" s="16">
        <v>350</v>
      </c>
      <c r="N24" s="270">
        <f t="shared" si="1"/>
        <v>11428.571428571429</v>
      </c>
    </row>
    <row r="25" spans="1:14" ht="15.75" x14ac:dyDescent="0.25">
      <c r="A25" s="15"/>
      <c r="B25" s="15"/>
      <c r="C25" s="20"/>
      <c r="D25" s="20"/>
      <c r="E25" s="20"/>
      <c r="F25" s="20"/>
      <c r="G25" s="20"/>
      <c r="H25" s="20"/>
      <c r="I25" s="15"/>
      <c r="J25" s="15"/>
      <c r="K25" s="16" t="s">
        <v>571</v>
      </c>
      <c r="L25" s="269">
        <v>8000000</v>
      </c>
      <c r="M25" s="16">
        <v>450</v>
      </c>
      <c r="N25" s="270">
        <f t="shared" si="1"/>
        <v>17777.777777777777</v>
      </c>
    </row>
    <row r="26" spans="1:14" ht="15.75" x14ac:dyDescent="0.25">
      <c r="A26" s="15"/>
      <c r="B26" s="178" t="s">
        <v>237</v>
      </c>
      <c r="C26" s="142">
        <f>Tabla13GastosAdm[[#Totals],[Costo (Mes)]]+Tabla14GastosVentas[[#Totals],[Costo (Mes)]]+Tabla15GastosOpera[[#Totals],[Costo (Mes)]]</f>
        <v>3965964.4841269846</v>
      </c>
      <c r="D26" s="142">
        <f>Tabla13GastosAdm[[#Totals],[Año 1]]+Tabla14GastosVentas[[#Totals],[Año 1]]+Tabla15GastosOpera[[#Totals],[Año 1]]</f>
        <v>53129812.277888767</v>
      </c>
      <c r="E26" s="142">
        <f>Tabla13GastosAdm[[#Totals],[Año 2]]+Tabla14GastosVentas[[#Totals],[Año 2]]+Tabla15GastosOpera[[#Totals],[Año 2]]</f>
        <v>57151739.067324951</v>
      </c>
      <c r="F26" s="142">
        <f>Tabla13GastosAdm[[#Totals],[Año 3]]+Tabla14GastosVentas[[#Totals],[Año 3]]+Tabla15GastosOpera[[#Totals],[Año 3]]</f>
        <v>62209667.974783204</v>
      </c>
      <c r="G26" s="142">
        <f>Tabla13GastosAdm[[#Totals],[Año 4]]+Tabla14GastosVentas[[#Totals],[Año 4]]+Tabla15GastosOpera[[#Totals],[Año 4]]</f>
        <v>68113365.465590119</v>
      </c>
      <c r="H26" s="142">
        <f>Tabla13GastosAdm[[#Totals],[Año 5]]+Tabla14GastosVentas[[#Totals],[Año 5]]+Tabla15GastosOpera[[#Totals],[Año 5]]</f>
        <v>74086907.616922393</v>
      </c>
      <c r="I26" s="15"/>
      <c r="J26" s="15"/>
      <c r="K26" s="16" t="s">
        <v>571</v>
      </c>
      <c r="L26" s="21">
        <v>2500000</v>
      </c>
      <c r="M26" s="16">
        <v>250</v>
      </c>
      <c r="N26" s="270">
        <f t="shared" si="1"/>
        <v>10000</v>
      </c>
    </row>
    <row r="27" spans="1:14" ht="15.75" x14ac:dyDescent="0.25">
      <c r="A27" s="15"/>
      <c r="B27" s="178" t="s">
        <v>238</v>
      </c>
      <c r="C27" s="179"/>
      <c r="D27" s="142">
        <f>D26/4</f>
        <v>13282453.069472192</v>
      </c>
      <c r="E27" s="142">
        <f t="shared" ref="E27:G27" si="3">E26/4</f>
        <v>14287934.766831238</v>
      </c>
      <c r="F27" s="142">
        <f t="shared" si="3"/>
        <v>15552416.993695801</v>
      </c>
      <c r="G27" s="142">
        <f t="shared" si="3"/>
        <v>17028341.36639753</v>
      </c>
      <c r="H27" s="142">
        <f>H26/4</f>
        <v>18521726.904230598</v>
      </c>
      <c r="I27" s="15"/>
      <c r="J27" s="15"/>
      <c r="K27" s="290" t="s">
        <v>576</v>
      </c>
      <c r="L27" s="290"/>
      <c r="M27" s="290"/>
      <c r="N27" s="268">
        <f>AVERAGE(N19:N26)</f>
        <v>13530.257936507938</v>
      </c>
    </row>
    <row r="28" spans="1:14" ht="15.75" x14ac:dyDescent="0.25">
      <c r="A28" s="15"/>
      <c r="B28" s="15"/>
      <c r="C28" s="20"/>
      <c r="D28" s="20"/>
      <c r="E28" s="20"/>
      <c r="F28" s="20"/>
      <c r="G28" s="20"/>
      <c r="H28" s="20"/>
      <c r="I28" s="15"/>
      <c r="J28" s="15"/>
      <c r="K28" s="16" t="s">
        <v>52</v>
      </c>
      <c r="L28" s="269">
        <f>N27</f>
        <v>13530.257936507938</v>
      </c>
      <c r="M28" s="16">
        <v>250</v>
      </c>
      <c r="N28" s="268">
        <f>L28*M28</f>
        <v>3382564.4841269846</v>
      </c>
    </row>
  </sheetData>
  <mergeCells count="2">
    <mergeCell ref="K17:N17"/>
    <mergeCell ref="K27:M27"/>
  </mergeCell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J47"/>
  <sheetViews>
    <sheetView showGridLines="0" zoomScale="96" zoomScaleNormal="96" workbookViewId="0">
      <selection activeCell="G40" sqref="G40"/>
    </sheetView>
  </sheetViews>
  <sheetFormatPr baseColWidth="10" defaultColWidth="11.42578125" defaultRowHeight="15" x14ac:dyDescent="0.25"/>
  <cols>
    <col min="1" max="1" width="11.42578125" style="1"/>
    <col min="2" max="2" width="49.140625" style="1" bestFit="1" customWidth="1"/>
    <col min="3" max="3" width="11.7109375" style="1" bestFit="1" customWidth="1"/>
    <col min="4" max="4" width="12.5703125" style="2" bestFit="1" customWidth="1"/>
    <col min="5" max="5" width="19.7109375" style="1" bestFit="1" customWidth="1"/>
    <col min="6" max="6" width="13.5703125" style="2" bestFit="1" customWidth="1"/>
    <col min="7" max="7" width="14.7109375" style="2" bestFit="1" customWidth="1"/>
    <col min="8" max="8" width="11.42578125" style="1"/>
    <col min="9" max="9" width="14.28515625" style="1" customWidth="1"/>
    <col min="10" max="10" width="12" style="1" bestFit="1" customWidth="1"/>
    <col min="11" max="16384" width="11.42578125" style="1"/>
  </cols>
  <sheetData>
    <row r="2" spans="2:10" ht="15.75" x14ac:dyDescent="0.25">
      <c r="B2" s="19" t="s">
        <v>239</v>
      </c>
      <c r="I2" s="15"/>
      <c r="J2" s="15"/>
    </row>
    <row r="3" spans="2:10" ht="15.75" x14ac:dyDescent="0.25">
      <c r="B3" s="19" t="s">
        <v>52</v>
      </c>
      <c r="I3" s="15"/>
      <c r="J3" s="15"/>
    </row>
    <row r="4" spans="2:10" ht="15.75" x14ac:dyDescent="0.25">
      <c r="I4" s="15"/>
      <c r="J4" s="15"/>
    </row>
    <row r="5" spans="2:10" ht="15.75" x14ac:dyDescent="0.25">
      <c r="B5" s="15" t="s">
        <v>240</v>
      </c>
      <c r="C5" s="15"/>
      <c r="D5" s="20"/>
      <c r="E5" s="15"/>
      <c r="F5" s="20"/>
      <c r="G5" s="20"/>
      <c r="I5" s="15"/>
      <c r="J5" s="15"/>
    </row>
    <row r="6" spans="2:10" ht="31.5" x14ac:dyDescent="0.25">
      <c r="B6" s="97" t="s">
        <v>136</v>
      </c>
      <c r="C6" s="97" t="s">
        <v>241</v>
      </c>
      <c r="D6" s="154" t="s">
        <v>137</v>
      </c>
      <c r="E6" s="98" t="s">
        <v>242</v>
      </c>
      <c r="F6" s="154" t="s">
        <v>65</v>
      </c>
      <c r="G6" s="154" t="s">
        <v>66</v>
      </c>
      <c r="I6" s="16" t="s">
        <v>243</v>
      </c>
      <c r="J6" s="16" t="s">
        <v>244</v>
      </c>
    </row>
    <row r="7" spans="2:10" ht="15.75" x14ac:dyDescent="0.25">
      <c r="B7" s="137" t="s">
        <v>245</v>
      </c>
      <c r="C7" s="137" t="s">
        <v>246</v>
      </c>
      <c r="D7" s="155">
        <v>1</v>
      </c>
      <c r="E7" s="137" t="s">
        <v>247</v>
      </c>
      <c r="F7" s="139">
        <v>4200</v>
      </c>
      <c r="G7" s="139">
        <f>Tabla17Papeleria[[#This Row],[Precio]]*Tabla17Papeleria[[#This Row],[Cantidad]]</f>
        <v>4200</v>
      </c>
      <c r="I7" s="21">
        <f>Tabla17Papeleria[[#This Row],[Total]]/6</f>
        <v>700</v>
      </c>
      <c r="J7" s="21">
        <f>I7*12</f>
        <v>8400</v>
      </c>
    </row>
    <row r="8" spans="2:10" ht="15.75" x14ac:dyDescent="0.25">
      <c r="B8" s="137" t="s">
        <v>248</v>
      </c>
      <c r="C8" s="137" t="s">
        <v>246</v>
      </c>
      <c r="D8" s="155">
        <v>1</v>
      </c>
      <c r="E8" s="137" t="s">
        <v>247</v>
      </c>
      <c r="F8" s="139">
        <v>18000</v>
      </c>
      <c r="G8" s="139">
        <f>Tabla17Papeleria[[#This Row],[Precio]]*Tabla17Papeleria[[#This Row],[Cantidad]]</f>
        <v>18000</v>
      </c>
      <c r="I8" s="21">
        <f>Tabla17Papeleria[[#This Row],[Total]]/6</f>
        <v>3000</v>
      </c>
      <c r="J8" s="21">
        <f>I8*12</f>
        <v>36000</v>
      </c>
    </row>
    <row r="9" spans="2:10" ht="15.75" x14ac:dyDescent="0.25">
      <c r="B9" s="137" t="s">
        <v>249</v>
      </c>
      <c r="C9" s="137" t="s">
        <v>250</v>
      </c>
      <c r="D9" s="155">
        <v>2</v>
      </c>
      <c r="E9" s="137" t="s">
        <v>247</v>
      </c>
      <c r="F9" s="139">
        <v>1100</v>
      </c>
      <c r="G9" s="139">
        <f>Tabla17Papeleria[[#This Row],[Precio]]*Tabla17Papeleria[[#This Row],[Cantidad]]</f>
        <v>2200</v>
      </c>
      <c r="I9" s="21">
        <f>Tabla17Papeleria[[#This Row],[Total]]/3</f>
        <v>733.33333333333337</v>
      </c>
      <c r="J9" s="21">
        <f>I9*12</f>
        <v>8800</v>
      </c>
    </row>
    <row r="10" spans="2:10" ht="15.75" x14ac:dyDescent="0.25">
      <c r="B10" s="137"/>
      <c r="C10" s="137"/>
      <c r="D10" s="155"/>
      <c r="E10" s="137"/>
      <c r="F10" s="139"/>
      <c r="G10" s="139">
        <f>Tabla17Papeleria[[#This Row],[Precio]]*Tabla17Papeleria[[#This Row],[Cantidad]]</f>
        <v>0</v>
      </c>
      <c r="I10" s="15"/>
      <c r="J10" s="15"/>
    </row>
    <row r="11" spans="2:10" ht="15.75" x14ac:dyDescent="0.25">
      <c r="B11" s="137"/>
      <c r="C11" s="137"/>
      <c r="D11" s="155"/>
      <c r="E11" s="137"/>
      <c r="F11" s="139"/>
      <c r="G11" s="139">
        <f>Tabla17Papeleria[[#This Row],[Precio]]*Tabla17Papeleria[[#This Row],[Cantidad]]</f>
        <v>0</v>
      </c>
      <c r="I11" s="15"/>
      <c r="J11" s="15"/>
    </row>
    <row r="12" spans="2:10" ht="15.75" x14ac:dyDescent="0.25">
      <c r="B12" s="137"/>
      <c r="C12" s="137"/>
      <c r="D12" s="155"/>
      <c r="E12" s="137"/>
      <c r="F12" s="139"/>
      <c r="G12" s="139">
        <f>Tabla17Papeleria[[#This Row],[Precio]]*Tabla17Papeleria[[#This Row],[Cantidad]]</f>
        <v>0</v>
      </c>
      <c r="I12" s="15"/>
      <c r="J12" s="15"/>
    </row>
    <row r="13" spans="2:10" ht="15.75" x14ac:dyDescent="0.25">
      <c r="B13" s="137"/>
      <c r="C13" s="137"/>
      <c r="D13" s="155"/>
      <c r="E13" s="137"/>
      <c r="F13" s="139"/>
      <c r="G13" s="139">
        <f>Tabla17Papeleria[[#This Row],[Precio]]*Tabla17Papeleria[[#This Row],[Cantidad]]</f>
        <v>0</v>
      </c>
      <c r="I13" s="15"/>
      <c r="J13" s="15"/>
    </row>
    <row r="14" spans="2:10" ht="15.75" x14ac:dyDescent="0.25">
      <c r="B14" s="97" t="s">
        <v>66</v>
      </c>
      <c r="C14" s="97"/>
      <c r="D14" s="97"/>
      <c r="E14" s="97"/>
      <c r="F14" s="100"/>
      <c r="G14" s="100">
        <f>SUM(G7:G13)</f>
        <v>24400</v>
      </c>
      <c r="I14" s="15"/>
      <c r="J14" s="15"/>
    </row>
    <row r="15" spans="2:10" ht="15.75" x14ac:dyDescent="0.25">
      <c r="B15" s="178" t="s">
        <v>251</v>
      </c>
      <c r="C15" s="178"/>
      <c r="D15" s="178"/>
      <c r="E15" s="178"/>
      <c r="F15" s="142"/>
      <c r="G15" s="142">
        <f>I7+I8+I9</f>
        <v>4433.333333333333</v>
      </c>
      <c r="I15" s="15"/>
      <c r="J15" s="15"/>
    </row>
    <row r="16" spans="2:10" ht="15.75" x14ac:dyDescent="0.25">
      <c r="B16" s="178" t="s">
        <v>132</v>
      </c>
      <c r="C16" s="178"/>
      <c r="D16" s="178"/>
      <c r="E16" s="178"/>
      <c r="F16" s="142"/>
      <c r="G16" s="142">
        <f>J7+J8+J9</f>
        <v>53200</v>
      </c>
      <c r="I16" s="15"/>
      <c r="J16" s="15"/>
    </row>
    <row r="17" spans="2:10" ht="15.75" x14ac:dyDescent="0.25">
      <c r="I17" s="15"/>
      <c r="J17" s="15"/>
    </row>
    <row r="18" spans="2:10" ht="15.75" x14ac:dyDescent="0.25">
      <c r="B18" s="15" t="s">
        <v>252</v>
      </c>
      <c r="C18" s="15"/>
      <c r="D18" s="20"/>
      <c r="E18" s="15"/>
      <c r="F18" s="20"/>
      <c r="G18" s="20"/>
      <c r="I18" s="15"/>
      <c r="J18" s="15"/>
    </row>
    <row r="19" spans="2:10" ht="31.5" x14ac:dyDescent="0.25">
      <c r="B19" s="137" t="s">
        <v>136</v>
      </c>
      <c r="C19" s="137" t="s">
        <v>241</v>
      </c>
      <c r="D19" s="155" t="s">
        <v>137</v>
      </c>
      <c r="E19" s="138" t="s">
        <v>242</v>
      </c>
      <c r="F19" s="155" t="s">
        <v>65</v>
      </c>
      <c r="G19" s="155" t="s">
        <v>66</v>
      </c>
      <c r="I19" s="16" t="s">
        <v>243</v>
      </c>
      <c r="J19" s="16" t="s">
        <v>244</v>
      </c>
    </row>
    <row r="20" spans="2:10" ht="15.75" x14ac:dyDescent="0.25">
      <c r="B20" s="137" t="s">
        <v>253</v>
      </c>
      <c r="C20" s="137" t="s">
        <v>246</v>
      </c>
      <c r="D20" s="155">
        <v>1</v>
      </c>
      <c r="E20" s="137" t="s">
        <v>247</v>
      </c>
      <c r="F20" s="139">
        <v>4800</v>
      </c>
      <c r="G20" s="139">
        <f>Tabla18Aseo[[#This Row],[Precio]]*Tabla18Aseo[[#This Row],[Cantidad]]</f>
        <v>4800</v>
      </c>
      <c r="I20" s="21">
        <f>Tabla18Aseo[[#This Row],[Total]]/6</f>
        <v>800</v>
      </c>
      <c r="J20" s="21">
        <f>I20*12</f>
        <v>9600</v>
      </c>
    </row>
    <row r="21" spans="2:10" ht="15.75" x14ac:dyDescent="0.25">
      <c r="B21" s="137" t="s">
        <v>254</v>
      </c>
      <c r="C21" s="137" t="s">
        <v>255</v>
      </c>
      <c r="D21" s="155">
        <v>1</v>
      </c>
      <c r="E21" s="137" t="s">
        <v>256</v>
      </c>
      <c r="F21" s="139">
        <v>6400</v>
      </c>
      <c r="G21" s="139">
        <f>Tabla18Aseo[[#This Row],[Precio]]*Tabla18Aseo[[#This Row],[Cantidad]]</f>
        <v>6400</v>
      </c>
      <c r="I21" s="21">
        <f>Tabla18Aseo[[#This Row],[Total]]</f>
        <v>6400</v>
      </c>
      <c r="J21" s="21">
        <f>I21*12</f>
        <v>76800</v>
      </c>
    </row>
    <row r="22" spans="2:10" ht="15.75" x14ac:dyDescent="0.25">
      <c r="B22" s="137" t="s">
        <v>257</v>
      </c>
      <c r="C22" s="137" t="s">
        <v>246</v>
      </c>
      <c r="D22" s="155">
        <v>1</v>
      </c>
      <c r="E22" s="137" t="s">
        <v>247</v>
      </c>
      <c r="F22" s="139">
        <v>8700</v>
      </c>
      <c r="G22" s="139">
        <f>Tabla18Aseo[[#This Row],[Precio]]*Tabla18Aseo[[#This Row],[Cantidad]]</f>
        <v>8700</v>
      </c>
      <c r="I22" s="21">
        <f>Tabla18Aseo[[#This Row],[Total]]/6</f>
        <v>1450</v>
      </c>
      <c r="J22" s="21">
        <f>I22*12</f>
        <v>17400</v>
      </c>
    </row>
    <row r="23" spans="2:10" ht="15.75" x14ac:dyDescent="0.25">
      <c r="B23" s="137" t="s">
        <v>258</v>
      </c>
      <c r="C23" s="137" t="s">
        <v>246</v>
      </c>
      <c r="D23" s="155">
        <v>1</v>
      </c>
      <c r="E23" s="137" t="s">
        <v>247</v>
      </c>
      <c r="F23" s="139">
        <v>8800</v>
      </c>
      <c r="G23" s="139">
        <f>Tabla18Aseo[[#This Row],[Precio]]*Tabla18Aseo[[#This Row],[Cantidad]]</f>
        <v>8800</v>
      </c>
      <c r="I23" s="21">
        <f>Tabla18Aseo[[#This Row],[Total]]/6</f>
        <v>1466.6666666666667</v>
      </c>
      <c r="J23" s="21">
        <f t="shared" ref="J23:J28" si="0">I23*12</f>
        <v>17600</v>
      </c>
    </row>
    <row r="24" spans="2:10" ht="15.75" x14ac:dyDescent="0.25">
      <c r="B24" s="137" t="s">
        <v>259</v>
      </c>
      <c r="C24" s="137" t="s">
        <v>260</v>
      </c>
      <c r="D24" s="155">
        <v>4</v>
      </c>
      <c r="E24" s="137" t="s">
        <v>247</v>
      </c>
      <c r="F24" s="139">
        <v>19700</v>
      </c>
      <c r="G24" s="139">
        <f>Tabla18Aseo[[#This Row],[Precio]]*Tabla18Aseo[[#This Row],[Cantidad]]</f>
        <v>78800</v>
      </c>
      <c r="I24" s="21">
        <f>Tabla18Aseo[[#This Row],[Total]]/12</f>
        <v>6566.666666666667</v>
      </c>
      <c r="J24" s="21">
        <f t="shared" si="0"/>
        <v>78800</v>
      </c>
    </row>
    <row r="25" spans="2:10" ht="15.75" x14ac:dyDescent="0.25">
      <c r="B25" s="137" t="s">
        <v>261</v>
      </c>
      <c r="C25" s="137" t="s">
        <v>262</v>
      </c>
      <c r="D25" s="155">
        <v>20</v>
      </c>
      <c r="E25" s="137" t="s">
        <v>247</v>
      </c>
      <c r="F25" s="139">
        <v>500</v>
      </c>
      <c r="G25" s="139">
        <f>Tabla18Aseo[[#This Row],[Precio]]*Tabla18Aseo[[#This Row],[Cantidad]]</f>
        <v>10000</v>
      </c>
      <c r="I25" s="21">
        <f>Tabla18Aseo[[#This Row],[Total]]/2</f>
        <v>5000</v>
      </c>
      <c r="J25" s="21">
        <f t="shared" si="0"/>
        <v>60000</v>
      </c>
    </row>
    <row r="26" spans="2:10" ht="15.75" x14ac:dyDescent="0.25">
      <c r="B26" s="137" t="s">
        <v>263</v>
      </c>
      <c r="C26" s="137" t="s">
        <v>250</v>
      </c>
      <c r="D26" s="155">
        <v>1</v>
      </c>
      <c r="E26" s="137" t="s">
        <v>264</v>
      </c>
      <c r="F26" s="139">
        <v>15000</v>
      </c>
      <c r="G26" s="139">
        <f>Tabla18Aseo[[#This Row],[Precio]]*Tabla18Aseo[[#This Row],[Cantidad]]</f>
        <v>15000</v>
      </c>
      <c r="I26" s="21">
        <f>Tabla18Aseo[[#This Row],[Total]]/3</f>
        <v>5000</v>
      </c>
      <c r="J26" s="21">
        <f t="shared" si="0"/>
        <v>60000</v>
      </c>
    </row>
    <row r="27" spans="2:10" ht="15.75" x14ac:dyDescent="0.25">
      <c r="B27" s="137" t="s">
        <v>265</v>
      </c>
      <c r="C27" s="137" t="s">
        <v>250</v>
      </c>
      <c r="D27" s="155">
        <v>1</v>
      </c>
      <c r="E27" s="137" t="s">
        <v>256</v>
      </c>
      <c r="F27" s="139">
        <v>10000</v>
      </c>
      <c r="G27" s="139">
        <f>Tabla18Aseo[[#This Row],[Precio]]*Tabla18Aseo[[#This Row],[Cantidad]]</f>
        <v>10000</v>
      </c>
      <c r="I27" s="21">
        <f>Tabla18Aseo[[#This Row],[Total]]/3</f>
        <v>3333.3333333333335</v>
      </c>
      <c r="J27" s="21">
        <f t="shared" si="0"/>
        <v>40000</v>
      </c>
    </row>
    <row r="28" spans="2:10" ht="15.75" x14ac:dyDescent="0.25">
      <c r="B28" s="137" t="s">
        <v>266</v>
      </c>
      <c r="C28" s="137" t="s">
        <v>250</v>
      </c>
      <c r="D28" s="155">
        <v>1</v>
      </c>
      <c r="E28" s="137" t="s">
        <v>256</v>
      </c>
      <c r="F28" s="139">
        <v>10000</v>
      </c>
      <c r="G28" s="139">
        <f>Tabla18Aseo[[#This Row],[Precio]]*Tabla18Aseo[[#This Row],[Cantidad]]</f>
        <v>10000</v>
      </c>
      <c r="I28" s="21">
        <f>Tabla18Aseo[[#This Row],[Total]]/3</f>
        <v>3333.3333333333335</v>
      </c>
      <c r="J28" s="21">
        <f t="shared" si="0"/>
        <v>40000</v>
      </c>
    </row>
    <row r="29" spans="2:10" ht="15.75" x14ac:dyDescent="0.25">
      <c r="B29" s="97" t="s">
        <v>66</v>
      </c>
      <c r="C29" s="97"/>
      <c r="D29" s="97"/>
      <c r="E29" s="97"/>
      <c r="F29" s="100"/>
      <c r="G29" s="100">
        <f>SUM(G20:G28)</f>
        <v>152500</v>
      </c>
      <c r="I29" s="15"/>
      <c r="J29" s="15"/>
    </row>
    <row r="30" spans="2:10" ht="15.75" x14ac:dyDescent="0.25">
      <c r="B30" s="178" t="s">
        <v>251</v>
      </c>
      <c r="C30" s="178"/>
      <c r="D30" s="178"/>
      <c r="E30" s="178"/>
      <c r="F30" s="142"/>
      <c r="G30" s="142">
        <f>SUM(I20:I28)</f>
        <v>33350</v>
      </c>
      <c r="I30" s="15"/>
      <c r="J30" s="15"/>
    </row>
    <row r="31" spans="2:10" ht="15.75" x14ac:dyDescent="0.25">
      <c r="B31" s="178" t="s">
        <v>132</v>
      </c>
      <c r="C31" s="178"/>
      <c r="D31" s="178"/>
      <c r="E31" s="178"/>
      <c r="F31" s="142"/>
      <c r="G31" s="142">
        <f>SUM(J20:J28)</f>
        <v>400200</v>
      </c>
      <c r="I31" s="15"/>
      <c r="J31" s="15"/>
    </row>
    <row r="32" spans="2:10" ht="15.75" x14ac:dyDescent="0.25">
      <c r="I32" s="15"/>
      <c r="J32" s="15"/>
    </row>
    <row r="33" spans="2:10" ht="15.75" x14ac:dyDescent="0.25">
      <c r="B33" s="15" t="s">
        <v>267</v>
      </c>
      <c r="C33" s="15"/>
      <c r="D33" s="20"/>
      <c r="E33" s="15"/>
      <c r="F33" s="20"/>
      <c r="G33" s="20"/>
      <c r="I33" s="15"/>
      <c r="J33" s="15"/>
    </row>
    <row r="34" spans="2:10" ht="31.5" x14ac:dyDescent="0.25">
      <c r="B34" s="97" t="s">
        <v>136</v>
      </c>
      <c r="C34" s="97" t="s">
        <v>241</v>
      </c>
      <c r="D34" s="154" t="s">
        <v>137</v>
      </c>
      <c r="E34" s="98" t="s">
        <v>242</v>
      </c>
      <c r="F34" s="154" t="s">
        <v>65</v>
      </c>
      <c r="G34" s="154" t="s">
        <v>66</v>
      </c>
      <c r="I34" s="16" t="s">
        <v>243</v>
      </c>
      <c r="J34" s="16" t="s">
        <v>244</v>
      </c>
    </row>
    <row r="35" spans="2:10" ht="15.75" x14ac:dyDescent="0.25">
      <c r="B35" s="137" t="s">
        <v>268</v>
      </c>
      <c r="C35" s="137" t="s">
        <v>246</v>
      </c>
      <c r="D35" s="155">
        <v>1</v>
      </c>
      <c r="E35" s="137" t="s">
        <v>247</v>
      </c>
      <c r="F35" s="139">
        <v>36000</v>
      </c>
      <c r="G35" s="139">
        <f>Tabla19OtrosInsumos[[#This Row],[Precio]]*Tabla19OtrosInsumos[[#This Row],[Cantidad]]</f>
        <v>36000</v>
      </c>
      <c r="I35" s="21">
        <f>Tabla19OtrosInsumos[[#This Row],[Total]]/6</f>
        <v>6000</v>
      </c>
      <c r="J35" s="21">
        <f>I35*12</f>
        <v>72000</v>
      </c>
    </row>
    <row r="36" spans="2:10" ht="15.75" x14ac:dyDescent="0.25">
      <c r="B36" s="137" t="s">
        <v>269</v>
      </c>
      <c r="C36" s="137" t="s">
        <v>260</v>
      </c>
      <c r="D36" s="155">
        <v>1</v>
      </c>
      <c r="E36" s="137" t="s">
        <v>270</v>
      </c>
      <c r="F36" s="139">
        <v>48500</v>
      </c>
      <c r="G36" s="139">
        <f>Tabla19OtrosInsumos[[#This Row],[Precio]]*Tabla19OtrosInsumos[[#This Row],[Cantidad]]</f>
        <v>48500</v>
      </c>
      <c r="I36" s="21">
        <f>Tabla19OtrosInsumos[[#This Row],[Total]]/12</f>
        <v>4041.6666666666665</v>
      </c>
      <c r="J36" s="21">
        <f>I36*12</f>
        <v>48500</v>
      </c>
    </row>
    <row r="37" spans="2:10" ht="15.75" x14ac:dyDescent="0.25">
      <c r="B37" s="137" t="s">
        <v>271</v>
      </c>
      <c r="C37" s="137" t="s">
        <v>260</v>
      </c>
      <c r="D37" s="155">
        <v>10</v>
      </c>
      <c r="E37" s="137" t="s">
        <v>247</v>
      </c>
      <c r="F37" s="139">
        <v>2000</v>
      </c>
      <c r="G37" s="139">
        <f>Tabla19OtrosInsumos[[#This Row],[Precio]]*Tabla19OtrosInsumos[[#This Row],[Cantidad]]</f>
        <v>20000</v>
      </c>
      <c r="I37" s="21">
        <f>Tabla19OtrosInsumos[[#This Row],[Total]]/12</f>
        <v>1666.6666666666667</v>
      </c>
      <c r="J37" s="21">
        <f>I37*12</f>
        <v>20000</v>
      </c>
    </row>
    <row r="38" spans="2:10" ht="15.75" x14ac:dyDescent="0.25">
      <c r="B38" s="97" t="s">
        <v>66</v>
      </c>
      <c r="C38" s="97"/>
      <c r="D38" s="97"/>
      <c r="E38" s="97"/>
      <c r="F38" s="100"/>
      <c r="G38" s="100">
        <f>SUM(G35:G37)</f>
        <v>104500</v>
      </c>
      <c r="I38" s="15"/>
      <c r="J38" s="15"/>
    </row>
    <row r="39" spans="2:10" ht="15.75" x14ac:dyDescent="0.25">
      <c r="B39" s="178" t="s">
        <v>251</v>
      </c>
      <c r="C39" s="178"/>
      <c r="D39" s="178"/>
      <c r="E39" s="178"/>
      <c r="F39" s="142"/>
      <c r="G39" s="142">
        <f>SUM(I35:I37)</f>
        <v>11708.333333333332</v>
      </c>
      <c r="I39" s="15"/>
      <c r="J39" s="15"/>
    </row>
    <row r="40" spans="2:10" ht="15.75" x14ac:dyDescent="0.25">
      <c r="B40" s="178" t="s">
        <v>272</v>
      </c>
      <c r="C40" s="178"/>
      <c r="D40" s="178"/>
      <c r="E40" s="178"/>
      <c r="F40" s="142"/>
      <c r="G40" s="142">
        <f>SUM(J35:J37)</f>
        <v>140500</v>
      </c>
      <c r="I40" s="15"/>
      <c r="J40" s="15"/>
    </row>
    <row r="41" spans="2:10" ht="15.75" x14ac:dyDescent="0.25">
      <c r="I41" s="15"/>
      <c r="J41" s="15"/>
    </row>
    <row r="42" spans="2:10" ht="15.75" x14ac:dyDescent="0.25">
      <c r="B42" s="95" t="s">
        <v>273</v>
      </c>
      <c r="C42" s="95"/>
      <c r="D42" s="181"/>
      <c r="E42" s="95"/>
      <c r="F42" s="181"/>
      <c r="G42" s="182">
        <f>G16+G31+G40</f>
        <v>593900</v>
      </c>
      <c r="I42" s="15"/>
      <c r="J42" s="15"/>
    </row>
    <row r="43" spans="2:10" ht="15.75" x14ac:dyDescent="0.25">
      <c r="I43" s="15"/>
      <c r="J43" s="15"/>
    </row>
    <row r="44" spans="2:10" ht="15.75" x14ac:dyDescent="0.25">
      <c r="I44" s="15"/>
      <c r="J44" s="15"/>
    </row>
    <row r="45" spans="2:10" ht="15.75" x14ac:dyDescent="0.25">
      <c r="I45" s="15"/>
      <c r="J45" s="15"/>
    </row>
    <row r="46" spans="2:10" ht="15.75" x14ac:dyDescent="0.25">
      <c r="I46" s="15"/>
      <c r="J46" s="15"/>
    </row>
    <row r="47" spans="2:10" ht="15.75" x14ac:dyDescent="0.25">
      <c r="I47" s="15"/>
      <c r="J47" s="15"/>
    </row>
  </sheetData>
  <pageMargins left="0.7" right="0.7" top="0.75" bottom="0.75" header="0.3" footer="0.3"/>
  <pageSetup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KZ89"/>
  <sheetViews>
    <sheetView showGridLines="0" topLeftCell="A4" zoomScaleNormal="100" workbookViewId="0">
      <selection activeCell="A29" sqref="A29"/>
    </sheetView>
  </sheetViews>
  <sheetFormatPr baseColWidth="10" defaultColWidth="11.42578125" defaultRowHeight="15" x14ac:dyDescent="0.25"/>
  <cols>
    <col min="1" max="1" width="11.42578125" style="1"/>
    <col min="2" max="2" width="41.42578125" style="1" bestFit="1" customWidth="1"/>
    <col min="3" max="3" width="57.5703125" style="2" customWidth="1"/>
    <col min="4" max="4" width="24.7109375" style="2" customWidth="1"/>
    <col min="5" max="5" width="19.42578125" style="3" bestFit="1" customWidth="1"/>
    <col min="6" max="6" width="25" style="2" customWidth="1"/>
    <col min="7" max="7" width="16.5703125" style="1" bestFit="1" customWidth="1"/>
    <col min="8" max="8" width="25.28515625" style="1" bestFit="1" customWidth="1"/>
    <col min="9" max="9" width="11.42578125" style="1"/>
    <col min="10" max="10" width="15.42578125" style="1" customWidth="1"/>
    <col min="11" max="11" width="16.28515625" style="1" customWidth="1"/>
    <col min="12" max="12" width="11.42578125" style="1"/>
    <col min="13" max="13" width="7.5703125" style="1" bestFit="1" customWidth="1"/>
    <col min="14" max="14" width="17.140625" style="1" bestFit="1" customWidth="1"/>
    <col min="15" max="15" width="14.140625" style="1" bestFit="1" customWidth="1"/>
    <col min="16" max="16" width="25.140625" style="1" bestFit="1" customWidth="1"/>
    <col min="17" max="17" width="11.42578125" style="1"/>
    <col min="18" max="19" width="13.5703125" style="1" bestFit="1" customWidth="1"/>
    <col min="20" max="21" width="11.42578125" style="1"/>
    <col min="22" max="22" width="17.140625" style="1" bestFit="1" customWidth="1"/>
    <col min="23" max="23" width="14.140625" style="1" bestFit="1" customWidth="1"/>
    <col min="24" max="24" width="25.140625" style="1" bestFit="1" customWidth="1"/>
    <col min="25" max="25" width="8.7109375" style="1" customWidth="1"/>
    <col min="26" max="26" width="17.42578125" style="1" customWidth="1"/>
    <col min="27" max="27" width="16.85546875" style="1" customWidth="1"/>
    <col min="28" max="29" width="11.42578125" style="1"/>
    <col min="30" max="30" width="17.140625" style="1" bestFit="1" customWidth="1"/>
    <col min="31" max="31" width="14.140625" style="1" bestFit="1" customWidth="1"/>
    <col min="32" max="32" width="25.140625" style="1" bestFit="1" customWidth="1"/>
    <col min="33" max="33" width="10" style="1" customWidth="1"/>
    <col min="34" max="34" width="21.5703125" style="1" customWidth="1"/>
    <col min="35" max="35" width="15.28515625" style="1" customWidth="1"/>
    <col min="36" max="37" width="11.42578125" style="1"/>
    <col min="38" max="38" width="17.140625" style="1" bestFit="1" customWidth="1"/>
    <col min="39" max="39" width="14.140625" style="1" bestFit="1" customWidth="1"/>
    <col min="40" max="40" width="25.140625" style="1" bestFit="1" customWidth="1"/>
    <col min="41" max="41" width="11.42578125" style="1"/>
    <col min="42" max="42" width="15.85546875" style="1" customWidth="1"/>
    <col min="43" max="43" width="13.5703125" style="1" bestFit="1" customWidth="1"/>
    <col min="44" max="45" width="11.42578125" style="1"/>
    <col min="46" max="46" width="17.140625" style="1" bestFit="1" customWidth="1"/>
    <col min="47" max="47" width="14.140625" style="1" bestFit="1" customWidth="1"/>
    <col min="48" max="48" width="25.140625" style="1" bestFit="1" customWidth="1"/>
    <col min="49" max="49" width="11.42578125" style="1"/>
    <col min="50" max="50" width="13.5703125" style="1" bestFit="1" customWidth="1"/>
    <col min="51" max="51" width="15.28515625" style="1" customWidth="1"/>
    <col min="52" max="53" width="11.42578125" style="1"/>
    <col min="54" max="54" width="17.140625" style="1" bestFit="1" customWidth="1"/>
    <col min="55" max="55" width="14.140625" style="1" bestFit="1" customWidth="1"/>
    <col min="56" max="56" width="25.140625" style="1" bestFit="1" customWidth="1"/>
    <col min="57" max="57" width="11.42578125" style="1"/>
    <col min="58" max="58" width="18.85546875" style="1" customWidth="1"/>
    <col min="59" max="59" width="12.42578125" style="1" customWidth="1"/>
    <col min="60" max="61" width="11.42578125" style="1"/>
    <col min="62" max="62" width="17.140625" style="1" bestFit="1" customWidth="1"/>
    <col min="63" max="63" width="14.140625" style="1" bestFit="1" customWidth="1"/>
    <col min="64" max="64" width="25.140625" style="1" bestFit="1" customWidth="1"/>
    <col min="65" max="65" width="11.42578125" style="1"/>
    <col min="66" max="67" width="13.5703125" style="1" bestFit="1" customWidth="1"/>
    <col min="68" max="69" width="11.42578125" style="1"/>
    <col min="70" max="70" width="17.140625" style="1" bestFit="1" customWidth="1"/>
    <col min="71" max="71" width="14.140625" style="1" bestFit="1" customWidth="1"/>
    <col min="72" max="72" width="25.140625" style="1" bestFit="1" customWidth="1"/>
    <col min="73" max="73" width="11.42578125" style="1"/>
    <col min="74" max="75" width="13.5703125" style="1" bestFit="1" customWidth="1"/>
    <col min="76" max="77" width="11.42578125" style="1"/>
    <col min="78" max="78" width="17.140625" style="1" bestFit="1" customWidth="1"/>
    <col min="79" max="79" width="14.140625" style="1" bestFit="1" customWidth="1"/>
    <col min="80" max="80" width="25.140625" style="1" bestFit="1" customWidth="1"/>
    <col min="81" max="81" width="11.42578125" style="1"/>
    <col min="82" max="82" width="13.5703125" style="1" bestFit="1" customWidth="1"/>
    <col min="83" max="83" width="17.42578125" style="1" customWidth="1"/>
    <col min="84" max="85" width="11.42578125" style="1"/>
    <col min="86" max="86" width="17.140625" style="1" bestFit="1" customWidth="1"/>
    <col min="87" max="87" width="14.140625" style="1" bestFit="1" customWidth="1"/>
    <col min="88" max="88" width="25.140625" style="1" bestFit="1" customWidth="1"/>
    <col min="89" max="89" width="11.42578125" style="1"/>
    <col min="90" max="90" width="13.5703125" style="1" bestFit="1" customWidth="1"/>
    <col min="91" max="91" width="14.85546875" style="1" customWidth="1"/>
    <col min="92" max="93" width="11.42578125" style="1"/>
    <col min="94" max="94" width="17.140625" style="1" bestFit="1" customWidth="1"/>
    <col min="95" max="95" width="14.140625" style="1" bestFit="1" customWidth="1"/>
    <col min="96" max="96" width="25.140625" style="1" bestFit="1" customWidth="1"/>
    <col min="97" max="97" width="11.42578125" style="1"/>
    <col min="98" max="98" width="13.5703125" style="1" bestFit="1" customWidth="1"/>
    <col min="99" max="99" width="13" style="1" customWidth="1"/>
    <col min="100" max="101" width="11.42578125" style="1"/>
    <col min="102" max="102" width="17.140625" style="1" bestFit="1" customWidth="1"/>
    <col min="103" max="103" width="14.140625" style="1" bestFit="1" customWidth="1"/>
    <col min="104" max="104" width="25.140625" style="1" bestFit="1" customWidth="1"/>
    <col min="105" max="105" width="11.42578125" style="1"/>
    <col min="106" max="107" width="13.5703125" style="1" bestFit="1" customWidth="1"/>
    <col min="108" max="109" width="11.42578125" style="1"/>
    <col min="110" max="110" width="17.140625" style="1" bestFit="1" customWidth="1"/>
    <col min="111" max="111" width="14.140625" style="1" bestFit="1" customWidth="1"/>
    <col min="112" max="112" width="25.140625" style="1" bestFit="1" customWidth="1"/>
    <col min="113" max="113" width="11.42578125" style="1"/>
    <col min="114" max="114" width="13.5703125" style="1" bestFit="1" customWidth="1"/>
    <col min="115" max="115" width="15.140625" style="1" customWidth="1"/>
    <col min="116" max="117" width="11.42578125" style="1"/>
    <col min="118" max="118" width="17.140625" style="1" bestFit="1" customWidth="1"/>
    <col min="119" max="119" width="14.140625" style="1" bestFit="1" customWidth="1"/>
    <col min="120" max="120" width="25.140625" style="1" bestFit="1" customWidth="1"/>
    <col min="121" max="121" width="11.42578125" style="1"/>
    <col min="122" max="123" width="13.5703125" style="1" bestFit="1" customWidth="1"/>
    <col min="124" max="125" width="11.42578125" style="1"/>
    <col min="126" max="126" width="17.140625" style="1" bestFit="1" customWidth="1"/>
    <col min="127" max="127" width="14.140625" style="1" bestFit="1" customWidth="1"/>
    <col min="128" max="128" width="25.140625" style="1" bestFit="1" customWidth="1"/>
    <col min="129" max="129" width="11.42578125" style="1"/>
    <col min="130" max="131" width="13.5703125" style="1" bestFit="1" customWidth="1"/>
    <col min="132" max="133" width="11.42578125" style="1"/>
    <col min="134" max="134" width="17.140625" style="1" bestFit="1" customWidth="1"/>
    <col min="135" max="135" width="14.140625" style="1" bestFit="1" customWidth="1"/>
    <col min="136" max="136" width="25.140625" style="1" bestFit="1" customWidth="1"/>
    <col min="137" max="137" width="11.42578125" style="1"/>
    <col min="138" max="139" width="13.5703125" style="1" bestFit="1" customWidth="1"/>
    <col min="140" max="141" width="11.42578125" style="1"/>
    <col min="142" max="142" width="17.140625" style="1" bestFit="1" customWidth="1"/>
    <col min="143" max="143" width="14.140625" style="1" bestFit="1" customWidth="1"/>
    <col min="144" max="144" width="25.140625" style="1" bestFit="1" customWidth="1"/>
    <col min="145" max="145" width="11.42578125" style="1"/>
    <col min="146" max="147" width="13.5703125" style="1" bestFit="1" customWidth="1"/>
    <col min="148" max="149" width="11.42578125" style="1"/>
    <col min="150" max="150" width="17.140625" style="1" bestFit="1" customWidth="1"/>
    <col min="151" max="151" width="14.140625" style="1" bestFit="1" customWidth="1"/>
    <col min="152" max="152" width="25.140625" style="1" bestFit="1" customWidth="1"/>
    <col min="153" max="153" width="11.42578125" style="1"/>
    <col min="154" max="154" width="13.5703125" style="1" bestFit="1" customWidth="1"/>
    <col min="155" max="155" width="11.85546875" style="1" bestFit="1" customWidth="1"/>
    <col min="156" max="157" width="11.42578125" style="1"/>
    <col min="158" max="158" width="17.140625" style="1" bestFit="1" customWidth="1"/>
    <col min="159" max="159" width="14.140625" style="1" bestFit="1" customWidth="1"/>
    <col min="160" max="160" width="25.140625" style="1" bestFit="1" customWidth="1"/>
    <col min="161" max="161" width="11.42578125" style="1"/>
    <col min="162" max="162" width="13.5703125" style="1" bestFit="1" customWidth="1"/>
    <col min="163" max="163" width="11.85546875" style="1" bestFit="1" customWidth="1"/>
    <col min="164" max="165" width="11.42578125" style="1"/>
    <col min="166" max="166" width="17.140625" style="1" bestFit="1" customWidth="1"/>
    <col min="167" max="167" width="14.140625" style="1" bestFit="1" customWidth="1"/>
    <col min="168" max="168" width="25.140625" style="1" bestFit="1" customWidth="1"/>
    <col min="169" max="169" width="11.42578125" style="1"/>
    <col min="170" max="171" width="13.5703125" style="1" bestFit="1" customWidth="1"/>
    <col min="172" max="173" width="11.42578125" style="1"/>
    <col min="174" max="174" width="17.140625" style="1" bestFit="1" customWidth="1"/>
    <col min="175" max="175" width="14.140625" style="1" bestFit="1" customWidth="1"/>
    <col min="176" max="176" width="25.140625" style="1" bestFit="1" customWidth="1"/>
    <col min="177" max="177" width="11.42578125" style="1"/>
    <col min="178" max="179" width="13.5703125" style="1" bestFit="1" customWidth="1"/>
    <col min="180" max="181" width="11.42578125" style="1"/>
    <col min="182" max="182" width="17.140625" style="1" bestFit="1" customWidth="1"/>
    <col min="183" max="183" width="14.140625" style="1" bestFit="1" customWidth="1"/>
    <col min="184" max="184" width="25.140625" style="1" bestFit="1" customWidth="1"/>
    <col min="185" max="185" width="11.42578125" style="1"/>
    <col min="186" max="186" width="19.28515625" style="1" customWidth="1"/>
    <col min="187" max="187" width="15.140625" style="1" customWidth="1"/>
    <col min="188" max="189" width="11.42578125" style="1"/>
    <col min="190" max="190" width="17.140625" style="1" bestFit="1" customWidth="1"/>
    <col min="191" max="191" width="14.140625" style="1" bestFit="1" customWidth="1"/>
    <col min="192" max="192" width="25.140625" style="1" bestFit="1" customWidth="1"/>
    <col min="193" max="193" width="11.42578125" style="1"/>
    <col min="194" max="195" width="13.5703125" style="1" bestFit="1" customWidth="1"/>
    <col min="196" max="197" width="11.42578125" style="1"/>
    <col min="198" max="198" width="17.140625" style="1" bestFit="1" customWidth="1"/>
    <col min="199" max="199" width="14.140625" style="1" bestFit="1" customWidth="1"/>
    <col min="200" max="200" width="25.140625" style="1" bestFit="1" customWidth="1"/>
    <col min="201" max="201" width="11.42578125" style="1"/>
    <col min="202" max="202" width="13.5703125" style="1" bestFit="1" customWidth="1"/>
    <col min="203" max="203" width="13.42578125" style="1" customWidth="1"/>
    <col min="204" max="205" width="11.42578125" style="1"/>
    <col min="206" max="206" width="17.140625" style="1" bestFit="1" customWidth="1"/>
    <col min="207" max="207" width="14.140625" style="1" bestFit="1" customWidth="1"/>
    <col min="208" max="208" width="25.140625" style="1" bestFit="1" customWidth="1"/>
    <col min="209" max="209" width="11.42578125" style="1"/>
    <col min="210" max="211" width="13.5703125" style="1" bestFit="1" customWidth="1"/>
    <col min="212" max="213" width="11.42578125" style="1"/>
    <col min="214" max="214" width="17.140625" style="1" bestFit="1" customWidth="1"/>
    <col min="215" max="215" width="14.140625" style="1" bestFit="1" customWidth="1"/>
    <col min="216" max="216" width="25.140625" style="1" bestFit="1" customWidth="1"/>
    <col min="217" max="217" width="11.42578125" style="1"/>
    <col min="218" max="218" width="13.5703125" style="1" bestFit="1" customWidth="1"/>
    <col min="219" max="219" width="15" style="1" customWidth="1"/>
    <col min="220" max="221" width="11.42578125" style="1"/>
    <col min="222" max="222" width="17.140625" style="1" bestFit="1" customWidth="1"/>
    <col min="223" max="223" width="14.140625" style="1" bestFit="1" customWidth="1"/>
    <col min="224" max="224" width="25.140625" style="1" bestFit="1" customWidth="1"/>
    <col min="225" max="225" width="11.42578125" style="1"/>
    <col min="226" max="226" width="13.5703125" style="1" bestFit="1" customWidth="1"/>
    <col min="227" max="227" width="15.42578125" style="1" customWidth="1"/>
    <col min="228" max="229" width="11.42578125" style="1"/>
    <col min="230" max="230" width="17.140625" style="1" bestFit="1" customWidth="1"/>
    <col min="231" max="231" width="14.140625" style="1" bestFit="1" customWidth="1"/>
    <col min="232" max="232" width="25.140625" style="1" bestFit="1" customWidth="1"/>
    <col min="233" max="233" width="11.42578125" style="1"/>
    <col min="234" max="234" width="13.5703125" style="1" bestFit="1" customWidth="1"/>
    <col min="235" max="237" width="11.42578125" style="1"/>
    <col min="238" max="238" width="17.140625" style="1" bestFit="1" customWidth="1"/>
    <col min="239" max="239" width="14.140625" style="1" bestFit="1" customWidth="1"/>
    <col min="240" max="240" width="25.140625" style="1" bestFit="1" customWidth="1"/>
    <col min="241" max="241" width="11.42578125" style="1"/>
    <col min="242" max="242" width="16.42578125" style="1" customWidth="1"/>
    <col min="243" max="243" width="15" style="1" customWidth="1"/>
    <col min="244" max="245" width="11.42578125" style="1"/>
    <col min="246" max="246" width="17.140625" style="1" bestFit="1" customWidth="1"/>
    <col min="247" max="247" width="14.140625" style="1" bestFit="1" customWidth="1"/>
    <col min="248" max="248" width="25.140625" style="1" bestFit="1" customWidth="1"/>
    <col min="249" max="249" width="11.42578125" style="1"/>
    <col min="250" max="251" width="13.5703125" style="1" bestFit="1" customWidth="1"/>
    <col min="252" max="253" width="11.42578125" style="1"/>
    <col min="254" max="254" width="17.140625" style="1" bestFit="1" customWidth="1"/>
    <col min="255" max="255" width="14.140625" style="1" bestFit="1" customWidth="1"/>
    <col min="256" max="256" width="25.140625" style="1" bestFit="1" customWidth="1"/>
    <col min="257" max="257" width="11.42578125" style="1"/>
    <col min="258" max="258" width="13.5703125" style="1" bestFit="1" customWidth="1"/>
    <col min="259" max="259" width="11.85546875" style="1" bestFit="1" customWidth="1"/>
    <col min="260" max="261" width="11.42578125" style="1"/>
    <col min="262" max="262" width="17.140625" style="1" bestFit="1" customWidth="1"/>
    <col min="263" max="263" width="14.140625" style="1" bestFit="1" customWidth="1"/>
    <col min="264" max="264" width="25.140625" style="1" bestFit="1" customWidth="1"/>
    <col min="265" max="265" width="11.42578125" style="1"/>
    <col min="266" max="266" width="13.5703125" style="1" bestFit="1" customWidth="1"/>
    <col min="267" max="267" width="14.7109375" style="1" bestFit="1" customWidth="1"/>
    <col min="268" max="269" width="11.42578125" style="1"/>
    <col min="270" max="270" width="17.140625" style="1" bestFit="1" customWidth="1"/>
    <col min="271" max="271" width="14.140625" style="1" bestFit="1" customWidth="1"/>
    <col min="272" max="272" width="25.140625" style="1" bestFit="1" customWidth="1"/>
    <col min="273" max="273" width="11.42578125" style="1"/>
    <col min="274" max="274" width="13.5703125" style="1" bestFit="1" customWidth="1"/>
    <col min="275" max="277" width="11.42578125" style="1"/>
    <col min="278" max="278" width="17.140625" style="1" bestFit="1" customWidth="1"/>
    <col min="279" max="279" width="14.140625" style="1" bestFit="1" customWidth="1"/>
    <col min="280" max="280" width="25.140625" style="1" bestFit="1" customWidth="1"/>
    <col min="281" max="281" width="11.42578125" style="1"/>
    <col min="282" max="282" width="13.5703125" style="1" bestFit="1" customWidth="1"/>
    <col min="283" max="283" width="11.85546875" style="1" bestFit="1" customWidth="1"/>
    <col min="284" max="285" width="11.42578125" style="1"/>
    <col min="286" max="286" width="17.140625" style="1" bestFit="1" customWidth="1"/>
    <col min="287" max="287" width="14.140625" style="1" bestFit="1" customWidth="1"/>
    <col min="288" max="288" width="25.140625" style="1" bestFit="1" customWidth="1"/>
    <col min="289" max="289" width="11.42578125" style="1"/>
    <col min="290" max="291" width="13.5703125" style="1" bestFit="1" customWidth="1"/>
    <col min="292" max="293" width="11.42578125" style="1"/>
    <col min="294" max="294" width="17.140625" style="1" bestFit="1" customWidth="1"/>
    <col min="295" max="295" width="14.140625" style="1" bestFit="1" customWidth="1"/>
    <col min="296" max="296" width="25.140625" style="1" bestFit="1" customWidth="1"/>
    <col min="297" max="297" width="11.42578125" style="1"/>
    <col min="298" max="298" width="16.7109375" style="1" customWidth="1"/>
    <col min="299" max="299" width="15" style="1" customWidth="1"/>
    <col min="300" max="301" width="11.42578125" style="1"/>
    <col min="302" max="302" width="17.140625" style="1" bestFit="1" customWidth="1"/>
    <col min="303" max="303" width="14.140625" style="1" bestFit="1" customWidth="1"/>
    <col min="304" max="304" width="25.140625" style="1" bestFit="1" customWidth="1"/>
    <col min="305" max="305" width="11.42578125" style="1"/>
    <col min="306" max="306" width="13.5703125" style="1" bestFit="1" customWidth="1"/>
    <col min="307" max="307" width="17.28515625" style="1" customWidth="1"/>
    <col min="308" max="309" width="11.42578125" style="1"/>
    <col min="310" max="310" width="17.140625" style="1" bestFit="1" customWidth="1"/>
    <col min="311" max="311" width="14.140625" style="1" bestFit="1" customWidth="1"/>
    <col min="312" max="312" width="25.140625" style="1" bestFit="1" customWidth="1"/>
    <col min="313" max="16384" width="11.42578125" style="1"/>
  </cols>
  <sheetData>
    <row r="2" spans="2:312" ht="15.75" x14ac:dyDescent="0.25">
      <c r="B2" s="19" t="s">
        <v>274</v>
      </c>
      <c r="C2" s="20"/>
      <c r="D2" s="20"/>
      <c r="E2" s="25"/>
      <c r="F2" s="20"/>
    </row>
    <row r="3" spans="2:312" ht="15.75" x14ac:dyDescent="0.25">
      <c r="B3" s="19" t="s">
        <v>52</v>
      </c>
      <c r="C3" s="20"/>
      <c r="D3" s="20"/>
      <c r="E3" s="25"/>
      <c r="F3" s="20"/>
    </row>
    <row r="4" spans="2:312" ht="15.75" x14ac:dyDescent="0.25">
      <c r="B4" s="15"/>
      <c r="C4" s="20"/>
      <c r="D4" s="20"/>
      <c r="E4" s="25"/>
      <c r="F4" s="20"/>
    </row>
    <row r="5" spans="2:312" ht="31.5" x14ac:dyDescent="0.25">
      <c r="B5" s="146" t="s">
        <v>275</v>
      </c>
      <c r="C5" s="163" t="s">
        <v>276</v>
      </c>
      <c r="D5" s="184" t="s">
        <v>277</v>
      </c>
      <c r="E5" s="185" t="s">
        <v>278</v>
      </c>
      <c r="F5" s="188" t="s">
        <v>279</v>
      </c>
    </row>
    <row r="6" spans="2:312" ht="15.75" x14ac:dyDescent="0.25">
      <c r="B6" s="171" t="s">
        <v>280</v>
      </c>
      <c r="C6" s="139">
        <f>Tabla10Maquinaria[[#Totals],[Subtotal]]-Maquinas!F41</f>
        <v>72515768</v>
      </c>
      <c r="D6" s="155">
        <v>10</v>
      </c>
      <c r="E6" s="183">
        <f>1/Tabla20Depre[[#This Row],[Vida útil
(Años)]]</f>
        <v>0.1</v>
      </c>
      <c r="F6" s="140">
        <f>Tabla20Depre[[#This Row],[Monto]]*Tabla20Depre[[#This Row],[Depreciación
(%)]]</f>
        <v>7251576.8000000007</v>
      </c>
    </row>
    <row r="7" spans="2:312" ht="15.75" x14ac:dyDescent="0.25">
      <c r="B7" s="171" t="s">
        <v>281</v>
      </c>
      <c r="C7" s="139">
        <f>Tabla11Equipo[[#Totals],[Subtotal]]</f>
        <v>233800</v>
      </c>
      <c r="D7" s="155">
        <v>6</v>
      </c>
      <c r="E7" s="183">
        <f>1/Tabla20Depre[[#This Row],[Vida útil
(Años)]]</f>
        <v>0.16666666666666666</v>
      </c>
      <c r="F7" s="140">
        <f>Tabla20Depre[[#This Row],[Monto]]*Tabla20Depre[[#This Row],[Depreciación
(%)]]</f>
        <v>38966.666666666664</v>
      </c>
    </row>
    <row r="8" spans="2:312" ht="15.75" x14ac:dyDescent="0.25">
      <c r="B8" s="171" t="s">
        <v>282</v>
      </c>
      <c r="C8" s="139">
        <f>Tabla12Computo[[#Totals],[Subtotal]]</f>
        <v>3118900</v>
      </c>
      <c r="D8" s="155">
        <v>5</v>
      </c>
      <c r="E8" s="183">
        <f>1/Tabla20Depre[[#This Row],[Vida útil
(Años)]]</f>
        <v>0.2</v>
      </c>
      <c r="F8" s="140">
        <f>Tabla20Depre[[#This Row],[Monto]]*Tabla20Depre[[#This Row],[Depreciación
(%)]]</f>
        <v>623780</v>
      </c>
    </row>
    <row r="9" spans="2:312" ht="15.75" x14ac:dyDescent="0.25">
      <c r="B9" s="151" t="s">
        <v>66</v>
      </c>
      <c r="C9" s="167"/>
      <c r="D9" s="167"/>
      <c r="E9" s="186"/>
      <c r="F9" s="169">
        <f>SUBTOTAL(109,Tabla20Depre[Depreciación
(Anual)])</f>
        <v>7914323.4666666677</v>
      </c>
    </row>
    <row r="11" spans="2:312" ht="15.75" x14ac:dyDescent="0.25">
      <c r="B11" s="15" t="s">
        <v>283</v>
      </c>
      <c r="C11" s="20"/>
      <c r="D11" s="20"/>
      <c r="E11" s="25"/>
      <c r="F11" s="20"/>
      <c r="G11" s="15"/>
      <c r="H11" s="15"/>
      <c r="I11" s="15"/>
      <c r="J11" s="15"/>
      <c r="K11" s="15"/>
      <c r="M11" s="193" t="s">
        <v>225</v>
      </c>
      <c r="N11" s="192" t="s">
        <v>284</v>
      </c>
      <c r="O11" s="84" t="s">
        <v>285</v>
      </c>
      <c r="P11" s="84" t="s">
        <v>274</v>
      </c>
      <c r="U11" s="193" t="s">
        <v>225</v>
      </c>
      <c r="V11" s="192" t="s">
        <v>284</v>
      </c>
      <c r="W11" s="84" t="s">
        <v>285</v>
      </c>
      <c r="X11" s="84" t="s">
        <v>274</v>
      </c>
      <c r="AC11" s="193" t="s">
        <v>225</v>
      </c>
      <c r="AD11" s="192" t="s">
        <v>284</v>
      </c>
      <c r="AE11" s="84" t="s">
        <v>285</v>
      </c>
      <c r="AF11" s="84" t="s">
        <v>274</v>
      </c>
      <c r="AK11" s="193" t="s">
        <v>225</v>
      </c>
      <c r="AL11" s="192" t="s">
        <v>284</v>
      </c>
      <c r="AM11" s="84" t="s">
        <v>285</v>
      </c>
      <c r="AN11" s="84" t="s">
        <v>274</v>
      </c>
      <c r="AS11" s="193" t="s">
        <v>225</v>
      </c>
      <c r="AT11" s="192" t="s">
        <v>284</v>
      </c>
      <c r="AU11" s="84" t="s">
        <v>285</v>
      </c>
      <c r="AV11" s="84" t="s">
        <v>274</v>
      </c>
      <c r="BA11" s="193" t="s">
        <v>225</v>
      </c>
      <c r="BB11" s="192" t="s">
        <v>284</v>
      </c>
      <c r="BC11" s="84" t="s">
        <v>285</v>
      </c>
      <c r="BD11" s="84" t="s">
        <v>274</v>
      </c>
      <c r="BI11" s="193" t="s">
        <v>225</v>
      </c>
      <c r="BJ11" s="192" t="s">
        <v>284</v>
      </c>
      <c r="BK11" s="84" t="s">
        <v>285</v>
      </c>
      <c r="BL11" s="84" t="s">
        <v>274</v>
      </c>
      <c r="BQ11" s="27" t="s">
        <v>225</v>
      </c>
      <c r="BR11" s="28" t="s">
        <v>284</v>
      </c>
      <c r="BS11" s="17" t="s">
        <v>285</v>
      </c>
      <c r="BT11" s="17" t="s">
        <v>274</v>
      </c>
      <c r="BY11" s="193" t="s">
        <v>225</v>
      </c>
      <c r="BZ11" s="192" t="s">
        <v>284</v>
      </c>
      <c r="CA11" s="84" t="s">
        <v>285</v>
      </c>
      <c r="CB11" s="84" t="s">
        <v>274</v>
      </c>
      <c r="CG11" s="193" t="s">
        <v>225</v>
      </c>
      <c r="CH11" s="192" t="s">
        <v>284</v>
      </c>
      <c r="CI11" s="84" t="s">
        <v>285</v>
      </c>
      <c r="CJ11" s="84" t="s">
        <v>274</v>
      </c>
      <c r="CO11" s="193" t="s">
        <v>225</v>
      </c>
      <c r="CP11" s="192" t="s">
        <v>284</v>
      </c>
      <c r="CQ11" s="84" t="s">
        <v>285</v>
      </c>
      <c r="CR11" s="84" t="s">
        <v>274</v>
      </c>
      <c r="CW11" s="193" t="s">
        <v>225</v>
      </c>
      <c r="CX11" s="192" t="s">
        <v>284</v>
      </c>
      <c r="CY11" s="84" t="s">
        <v>285</v>
      </c>
      <c r="CZ11" s="84" t="s">
        <v>274</v>
      </c>
      <c r="DE11" s="193" t="s">
        <v>225</v>
      </c>
      <c r="DF11" s="192" t="s">
        <v>284</v>
      </c>
      <c r="DG11" s="84" t="s">
        <v>285</v>
      </c>
      <c r="DH11" s="84" t="s">
        <v>274</v>
      </c>
      <c r="DM11" s="193" t="s">
        <v>225</v>
      </c>
      <c r="DN11" s="192" t="s">
        <v>284</v>
      </c>
      <c r="DO11" s="84" t="s">
        <v>285</v>
      </c>
      <c r="DP11" s="84" t="s">
        <v>274</v>
      </c>
      <c r="DU11" s="193" t="s">
        <v>225</v>
      </c>
      <c r="DV11" s="192" t="s">
        <v>284</v>
      </c>
      <c r="DW11" s="84" t="s">
        <v>285</v>
      </c>
      <c r="DX11" s="84" t="s">
        <v>274</v>
      </c>
      <c r="EC11" s="193" t="s">
        <v>225</v>
      </c>
      <c r="ED11" s="192" t="s">
        <v>284</v>
      </c>
      <c r="EE11" s="84" t="s">
        <v>285</v>
      </c>
      <c r="EF11" s="84" t="s">
        <v>274</v>
      </c>
      <c r="EK11" s="197" t="s">
        <v>225</v>
      </c>
      <c r="EL11" s="196" t="s">
        <v>284</v>
      </c>
      <c r="EM11" s="195" t="s">
        <v>285</v>
      </c>
      <c r="EN11" s="195" t="s">
        <v>274</v>
      </c>
      <c r="ES11" s="193" t="s">
        <v>225</v>
      </c>
      <c r="ET11" s="192" t="s">
        <v>284</v>
      </c>
      <c r="EU11" s="84" t="s">
        <v>285</v>
      </c>
      <c r="EV11" s="84" t="s">
        <v>274</v>
      </c>
      <c r="FA11" s="193" t="s">
        <v>225</v>
      </c>
      <c r="FB11" s="192" t="s">
        <v>284</v>
      </c>
      <c r="FC11" s="84" t="s">
        <v>285</v>
      </c>
      <c r="FD11" s="84" t="s">
        <v>274</v>
      </c>
      <c r="FI11" s="193" t="s">
        <v>225</v>
      </c>
      <c r="FJ11" s="192" t="s">
        <v>284</v>
      </c>
      <c r="FK11" s="84" t="s">
        <v>285</v>
      </c>
      <c r="FL11" s="84" t="s">
        <v>274</v>
      </c>
      <c r="FQ11" s="193" t="s">
        <v>225</v>
      </c>
      <c r="FR11" s="192" t="s">
        <v>284</v>
      </c>
      <c r="FS11" s="84" t="s">
        <v>285</v>
      </c>
      <c r="FT11" s="84" t="s">
        <v>274</v>
      </c>
      <c r="FY11" s="193" t="s">
        <v>225</v>
      </c>
      <c r="FZ11" s="192" t="s">
        <v>284</v>
      </c>
      <c r="GA11" s="84" t="s">
        <v>285</v>
      </c>
      <c r="GB11" s="84" t="s">
        <v>274</v>
      </c>
      <c r="GG11" s="193" t="s">
        <v>225</v>
      </c>
      <c r="GH11" s="192" t="s">
        <v>284</v>
      </c>
      <c r="GI11" s="84" t="s">
        <v>285</v>
      </c>
      <c r="GJ11" s="84" t="s">
        <v>274</v>
      </c>
      <c r="GO11" s="193" t="s">
        <v>225</v>
      </c>
      <c r="GP11" s="192" t="s">
        <v>284</v>
      </c>
      <c r="GQ11" s="84" t="s">
        <v>285</v>
      </c>
      <c r="GR11" s="84" t="s">
        <v>274</v>
      </c>
      <c r="GW11" s="193" t="s">
        <v>225</v>
      </c>
      <c r="GX11" s="192" t="s">
        <v>284</v>
      </c>
      <c r="GY11" s="84" t="s">
        <v>285</v>
      </c>
      <c r="GZ11" s="84" t="s">
        <v>274</v>
      </c>
      <c r="HE11" s="193" t="s">
        <v>225</v>
      </c>
      <c r="HF11" s="192" t="s">
        <v>284</v>
      </c>
      <c r="HG11" s="84" t="s">
        <v>285</v>
      </c>
      <c r="HH11" s="84" t="s">
        <v>274</v>
      </c>
      <c r="HM11" s="193" t="s">
        <v>225</v>
      </c>
      <c r="HN11" s="192" t="s">
        <v>284</v>
      </c>
      <c r="HO11" s="84" t="s">
        <v>285</v>
      </c>
      <c r="HP11" s="84" t="s">
        <v>274</v>
      </c>
      <c r="HU11" s="193" t="s">
        <v>225</v>
      </c>
      <c r="HV11" s="192" t="s">
        <v>284</v>
      </c>
      <c r="HW11" s="84" t="s">
        <v>285</v>
      </c>
      <c r="HX11" s="84" t="s">
        <v>274</v>
      </c>
      <c r="IC11" s="193" t="s">
        <v>225</v>
      </c>
      <c r="ID11" s="192" t="s">
        <v>284</v>
      </c>
      <c r="IE11" s="84" t="s">
        <v>285</v>
      </c>
      <c r="IF11" s="84" t="s">
        <v>274</v>
      </c>
      <c r="IK11" s="193" t="s">
        <v>225</v>
      </c>
      <c r="IL11" s="192" t="s">
        <v>284</v>
      </c>
      <c r="IM11" s="84" t="s">
        <v>285</v>
      </c>
      <c r="IN11" s="84" t="s">
        <v>274</v>
      </c>
      <c r="IS11" s="193" t="s">
        <v>225</v>
      </c>
      <c r="IT11" s="192" t="s">
        <v>284</v>
      </c>
      <c r="IU11" s="84" t="s">
        <v>285</v>
      </c>
      <c r="IV11" s="84" t="s">
        <v>274</v>
      </c>
      <c r="JA11" s="193" t="s">
        <v>225</v>
      </c>
      <c r="JB11" s="192" t="s">
        <v>284</v>
      </c>
      <c r="JC11" s="84" t="s">
        <v>285</v>
      </c>
      <c r="JD11" s="84" t="s">
        <v>274</v>
      </c>
      <c r="JI11" s="193" t="s">
        <v>225</v>
      </c>
      <c r="JJ11" s="192" t="s">
        <v>284</v>
      </c>
      <c r="JK11" s="84" t="s">
        <v>285</v>
      </c>
      <c r="JL11" s="84" t="s">
        <v>274</v>
      </c>
      <c r="JQ11" s="193" t="s">
        <v>225</v>
      </c>
      <c r="JR11" s="192" t="s">
        <v>284</v>
      </c>
      <c r="JS11" s="84" t="s">
        <v>285</v>
      </c>
      <c r="JT11" s="84" t="s">
        <v>274</v>
      </c>
      <c r="JY11" s="193" t="s">
        <v>225</v>
      </c>
      <c r="JZ11" s="192" t="s">
        <v>284</v>
      </c>
      <c r="KA11" s="84" t="s">
        <v>285</v>
      </c>
      <c r="KB11" s="84" t="s">
        <v>274</v>
      </c>
      <c r="KG11" s="193" t="s">
        <v>225</v>
      </c>
      <c r="KH11" s="192" t="s">
        <v>284</v>
      </c>
      <c r="KI11" s="84" t="s">
        <v>285</v>
      </c>
      <c r="KJ11" s="84" t="s">
        <v>274</v>
      </c>
      <c r="KO11" s="193" t="s">
        <v>225</v>
      </c>
      <c r="KP11" s="192" t="s">
        <v>284</v>
      </c>
      <c r="KQ11" s="84" t="s">
        <v>285</v>
      </c>
      <c r="KR11" s="84" t="s">
        <v>274</v>
      </c>
      <c r="KW11" s="190"/>
      <c r="KX11" s="191"/>
      <c r="KY11" s="18"/>
      <c r="KZ11" s="18"/>
    </row>
    <row r="12" spans="2:312" ht="15.75" x14ac:dyDescent="0.25">
      <c r="B12" s="15"/>
      <c r="C12" s="20"/>
      <c r="D12" s="20"/>
      <c r="E12" s="201" t="s">
        <v>225</v>
      </c>
      <c r="F12" s="200" t="s">
        <v>284</v>
      </c>
      <c r="G12" s="93" t="s">
        <v>285</v>
      </c>
      <c r="H12" s="93" t="s">
        <v>274</v>
      </c>
      <c r="I12" s="15"/>
      <c r="J12" s="294" t="s">
        <v>286</v>
      </c>
      <c r="K12" s="294"/>
      <c r="M12" s="110" t="s">
        <v>224</v>
      </c>
      <c r="N12" s="88">
        <f>K13</f>
        <v>3200000</v>
      </c>
      <c r="O12" s="88"/>
      <c r="P12" s="88"/>
      <c r="R12" s="294" t="s">
        <v>287</v>
      </c>
      <c r="S12" s="294"/>
      <c r="U12" s="110" t="s">
        <v>224</v>
      </c>
      <c r="V12" s="88">
        <f>S13</f>
        <v>2950000</v>
      </c>
      <c r="W12" s="88"/>
      <c r="X12" s="88"/>
      <c r="Z12" s="294" t="s">
        <v>288</v>
      </c>
      <c r="AA12" s="294"/>
      <c r="AC12" s="110" t="s">
        <v>224</v>
      </c>
      <c r="AD12" s="88">
        <f>AA13</f>
        <v>2750000</v>
      </c>
      <c r="AE12" s="88"/>
      <c r="AF12" s="88"/>
      <c r="AH12" s="294" t="s">
        <v>289</v>
      </c>
      <c r="AI12" s="294"/>
      <c r="AK12" s="110" t="s">
        <v>224</v>
      </c>
      <c r="AL12" s="88">
        <f>AI13</f>
        <v>2750000</v>
      </c>
      <c r="AM12" s="88"/>
      <c r="AN12" s="88"/>
      <c r="AP12" s="294" t="s">
        <v>290</v>
      </c>
      <c r="AQ12" s="294"/>
      <c r="AS12" s="110" t="s">
        <v>224</v>
      </c>
      <c r="AT12" s="88">
        <f>AQ13</f>
        <v>3000000</v>
      </c>
      <c r="AU12" s="88"/>
      <c r="AV12" s="88"/>
      <c r="AX12" s="294" t="s">
        <v>291</v>
      </c>
      <c r="AY12" s="294"/>
      <c r="BA12" s="110" t="s">
        <v>224</v>
      </c>
      <c r="BB12" s="88">
        <f>AY13</f>
        <v>4100000</v>
      </c>
      <c r="BC12" s="88"/>
      <c r="BD12" s="88"/>
      <c r="BF12" s="294" t="s">
        <v>292</v>
      </c>
      <c r="BG12" s="294"/>
      <c r="BI12" s="110" t="s">
        <v>224</v>
      </c>
      <c r="BJ12" s="88">
        <f>BG13</f>
        <v>300000</v>
      </c>
      <c r="BK12" s="88"/>
      <c r="BL12" s="88"/>
      <c r="BN12" s="290" t="s">
        <v>293</v>
      </c>
      <c r="BO12" s="290"/>
      <c r="BQ12" s="22" t="s">
        <v>224</v>
      </c>
      <c r="BR12" s="21">
        <f>BO13</f>
        <v>3335000</v>
      </c>
      <c r="BS12" s="21"/>
      <c r="BT12" s="21"/>
      <c r="BV12" s="294" t="s">
        <v>294</v>
      </c>
      <c r="BW12" s="294"/>
      <c r="BY12" s="110" t="s">
        <v>224</v>
      </c>
      <c r="BZ12" s="88">
        <f>BW13</f>
        <v>3220000</v>
      </c>
      <c r="CA12" s="88"/>
      <c r="CB12" s="88"/>
      <c r="CD12" s="294" t="s">
        <v>295</v>
      </c>
      <c r="CE12" s="294"/>
      <c r="CG12" s="110" t="s">
        <v>224</v>
      </c>
      <c r="CH12" s="88">
        <f>CE13</f>
        <v>980000</v>
      </c>
      <c r="CI12" s="88"/>
      <c r="CJ12" s="88"/>
      <c r="CL12" s="294" t="s">
        <v>296</v>
      </c>
      <c r="CM12" s="294"/>
      <c r="CO12" s="110" t="s">
        <v>224</v>
      </c>
      <c r="CP12" s="88">
        <f>CM13</f>
        <v>4500000</v>
      </c>
      <c r="CQ12" s="88"/>
      <c r="CR12" s="88"/>
      <c r="CT12" s="294" t="s">
        <v>297</v>
      </c>
      <c r="CU12" s="294"/>
      <c r="CW12" s="110" t="s">
        <v>224</v>
      </c>
      <c r="CX12" s="88">
        <f>CU13</f>
        <v>510000</v>
      </c>
      <c r="CY12" s="88"/>
      <c r="CZ12" s="88"/>
      <c r="DB12" s="294" t="s">
        <v>298</v>
      </c>
      <c r="DC12" s="294"/>
      <c r="DE12" s="110" t="s">
        <v>224</v>
      </c>
      <c r="DF12" s="88">
        <f>DC13</f>
        <v>1020000</v>
      </c>
      <c r="DG12" s="88"/>
      <c r="DH12" s="88"/>
      <c r="DJ12" s="294" t="s">
        <v>299</v>
      </c>
      <c r="DK12" s="294"/>
      <c r="DM12" s="110" t="s">
        <v>224</v>
      </c>
      <c r="DN12" s="88">
        <f>DK13</f>
        <v>2040000</v>
      </c>
      <c r="DO12" s="88"/>
      <c r="DP12" s="88"/>
      <c r="DR12" s="294" t="s">
        <v>300</v>
      </c>
      <c r="DS12" s="294"/>
      <c r="DU12" s="110" t="s">
        <v>224</v>
      </c>
      <c r="DV12" s="88">
        <f>DS13</f>
        <v>3150000</v>
      </c>
      <c r="DW12" s="88"/>
      <c r="DX12" s="88"/>
      <c r="DZ12" s="294" t="s">
        <v>301</v>
      </c>
      <c r="EA12" s="294"/>
      <c r="EC12" s="110" t="s">
        <v>224</v>
      </c>
      <c r="ED12" s="88">
        <f>EA13</f>
        <v>4080000</v>
      </c>
      <c r="EE12" s="88"/>
      <c r="EF12" s="88"/>
      <c r="EH12" s="294" t="s">
        <v>302</v>
      </c>
      <c r="EI12" s="294"/>
      <c r="EK12" s="203" t="s">
        <v>224</v>
      </c>
      <c r="EL12" s="104">
        <f>EI13</f>
        <v>3380000</v>
      </c>
      <c r="EM12" s="104"/>
      <c r="EN12" s="104"/>
      <c r="EP12" s="294" t="s">
        <v>303</v>
      </c>
      <c r="EQ12" s="294"/>
      <c r="ES12" s="110" t="s">
        <v>224</v>
      </c>
      <c r="ET12" s="88">
        <f>EQ13</f>
        <v>1560000</v>
      </c>
      <c r="EU12" s="88"/>
      <c r="EV12" s="88"/>
      <c r="EX12" s="294" t="s">
        <v>304</v>
      </c>
      <c r="EY12" s="294"/>
      <c r="FA12" s="110" t="s">
        <v>224</v>
      </c>
      <c r="FB12" s="88">
        <f>EY13</f>
        <v>300000</v>
      </c>
      <c r="FC12" s="88"/>
      <c r="FD12" s="88"/>
      <c r="FF12" s="294" t="s">
        <v>305</v>
      </c>
      <c r="FG12" s="294"/>
      <c r="FI12" s="110" t="s">
        <v>224</v>
      </c>
      <c r="FJ12" s="88">
        <f>FG13</f>
        <v>192000</v>
      </c>
      <c r="FK12" s="88"/>
      <c r="FL12" s="88"/>
      <c r="FN12" s="294" t="s">
        <v>306</v>
      </c>
      <c r="FO12" s="294"/>
      <c r="FQ12" s="110" t="s">
        <v>224</v>
      </c>
      <c r="FR12" s="88">
        <f>FO13</f>
        <v>3792448</v>
      </c>
      <c r="FS12" s="88"/>
      <c r="FT12" s="88"/>
      <c r="FV12" s="294" t="s">
        <v>307</v>
      </c>
      <c r="FW12" s="294"/>
      <c r="FY12" s="110" t="s">
        <v>224</v>
      </c>
      <c r="FZ12" s="88">
        <f>FW13</f>
        <v>1000000</v>
      </c>
      <c r="GA12" s="88"/>
      <c r="GB12" s="88"/>
      <c r="GD12" s="294" t="s">
        <v>308</v>
      </c>
      <c r="GE12" s="294"/>
      <c r="GG12" s="110" t="s">
        <v>224</v>
      </c>
      <c r="GH12" s="88">
        <f>GE13</f>
        <v>3000000</v>
      </c>
      <c r="GI12" s="88"/>
      <c r="GJ12" s="88"/>
      <c r="GL12" s="294" t="s">
        <v>309</v>
      </c>
      <c r="GM12" s="294"/>
      <c r="GO12" s="110" t="s">
        <v>224</v>
      </c>
      <c r="GP12" s="88">
        <f>GM13</f>
        <v>2984000</v>
      </c>
      <c r="GQ12" s="88"/>
      <c r="GR12" s="88"/>
      <c r="GT12" s="294" t="s">
        <v>310</v>
      </c>
      <c r="GU12" s="294"/>
      <c r="GW12" s="110" t="s">
        <v>224</v>
      </c>
      <c r="GX12" s="88">
        <f>GU13</f>
        <v>1537320</v>
      </c>
      <c r="GY12" s="88"/>
      <c r="GZ12" s="88"/>
      <c r="HB12" s="294" t="s">
        <v>311</v>
      </c>
      <c r="HC12" s="294"/>
      <c r="HE12" s="110" t="s">
        <v>224</v>
      </c>
      <c r="HF12" s="88">
        <f>HC13</f>
        <v>1400000</v>
      </c>
      <c r="HG12" s="88"/>
      <c r="HH12" s="88"/>
      <c r="HJ12" s="294" t="s">
        <v>312</v>
      </c>
      <c r="HK12" s="294"/>
      <c r="HM12" s="110" t="s">
        <v>224</v>
      </c>
      <c r="HN12" s="88">
        <f>HK13</f>
        <v>1400000</v>
      </c>
      <c r="HO12" s="88"/>
      <c r="HP12" s="88"/>
      <c r="HR12" s="294" t="s">
        <v>313</v>
      </c>
      <c r="HS12" s="294"/>
      <c r="HU12" s="110" t="s">
        <v>224</v>
      </c>
      <c r="HV12" s="88">
        <f>HS13</f>
        <v>1400000</v>
      </c>
      <c r="HW12" s="88"/>
      <c r="HX12" s="88"/>
      <c r="HZ12" s="294" t="s">
        <v>314</v>
      </c>
      <c r="IA12" s="294"/>
      <c r="IC12" s="110" t="s">
        <v>224</v>
      </c>
      <c r="ID12" s="88">
        <f>IA13</f>
        <v>70000</v>
      </c>
      <c r="IE12" s="88"/>
      <c r="IF12" s="88"/>
      <c r="IH12" s="294" t="s">
        <v>315</v>
      </c>
      <c r="II12" s="294"/>
      <c r="IK12" s="110" t="s">
        <v>224</v>
      </c>
      <c r="IL12" s="88">
        <f>II13</f>
        <v>45000</v>
      </c>
      <c r="IM12" s="88"/>
      <c r="IN12" s="88"/>
      <c r="IP12" s="294" t="s">
        <v>316</v>
      </c>
      <c r="IQ12" s="294"/>
      <c r="IS12" s="110" t="s">
        <v>224</v>
      </c>
      <c r="IT12" s="88">
        <f>IQ13</f>
        <v>2380000</v>
      </c>
      <c r="IU12" s="88"/>
      <c r="IV12" s="88"/>
      <c r="IX12" s="294" t="s">
        <v>317</v>
      </c>
      <c r="IY12" s="294"/>
      <c r="JA12" s="110" t="s">
        <v>224</v>
      </c>
      <c r="JB12" s="88">
        <f>IY13</f>
        <v>295000</v>
      </c>
      <c r="JC12" s="88"/>
      <c r="JD12" s="88"/>
      <c r="JF12" s="294" t="s">
        <v>318</v>
      </c>
      <c r="JG12" s="294"/>
      <c r="JI12" s="110" t="s">
        <v>224</v>
      </c>
      <c r="JJ12" s="88">
        <f>JG13</f>
        <v>20000000</v>
      </c>
      <c r="JK12" s="88"/>
      <c r="JL12" s="88"/>
      <c r="JN12" s="294" t="s">
        <v>319</v>
      </c>
      <c r="JO12" s="294"/>
      <c r="JQ12" s="110" t="s">
        <v>224</v>
      </c>
      <c r="JR12" s="88">
        <f>JO13</f>
        <v>33900</v>
      </c>
      <c r="JS12" s="88"/>
      <c r="JT12" s="88"/>
      <c r="JV12" s="294" t="s">
        <v>320</v>
      </c>
      <c r="JW12" s="294"/>
      <c r="JY12" s="110" t="s">
        <v>224</v>
      </c>
      <c r="JZ12" s="88">
        <f>JW13</f>
        <v>199900</v>
      </c>
      <c r="KA12" s="88"/>
      <c r="KB12" s="88"/>
      <c r="KD12" s="294" t="s">
        <v>321</v>
      </c>
      <c r="KE12" s="294"/>
      <c r="KG12" s="110" t="s">
        <v>224</v>
      </c>
      <c r="KH12" s="88">
        <f>KE13</f>
        <v>2199000</v>
      </c>
      <c r="KI12" s="88"/>
      <c r="KJ12" s="88"/>
      <c r="KL12" s="294" t="s">
        <v>322</v>
      </c>
      <c r="KM12" s="294"/>
      <c r="KO12" s="110" t="s">
        <v>224</v>
      </c>
      <c r="KP12" s="88">
        <f>KM13</f>
        <v>119900</v>
      </c>
      <c r="KQ12" s="88"/>
      <c r="KR12" s="88"/>
      <c r="KT12" s="295"/>
      <c r="KU12" s="295"/>
      <c r="KW12" s="30"/>
      <c r="KX12" s="31"/>
      <c r="KY12" s="31"/>
      <c r="KZ12" s="31"/>
    </row>
    <row r="13" spans="2:312" ht="15.75" x14ac:dyDescent="0.25">
      <c r="B13" s="296" t="s">
        <v>323</v>
      </c>
      <c r="C13" s="296"/>
      <c r="D13" s="20"/>
      <c r="E13" s="110" t="s">
        <v>224</v>
      </c>
      <c r="F13" s="88">
        <f>C14</f>
        <v>9200000</v>
      </c>
      <c r="G13" s="88"/>
      <c r="H13" s="88"/>
      <c r="I13" s="15"/>
      <c r="J13" s="83" t="s">
        <v>324</v>
      </c>
      <c r="K13" s="88">
        <v>3200000</v>
      </c>
      <c r="M13" s="110" t="s">
        <v>37</v>
      </c>
      <c r="N13" s="88">
        <f>N12-O13</f>
        <v>3030000</v>
      </c>
      <c r="O13" s="88">
        <f>$K$16</f>
        <v>170000</v>
      </c>
      <c r="P13" s="88">
        <f>O13</f>
        <v>170000</v>
      </c>
      <c r="R13" s="83" t="s">
        <v>324</v>
      </c>
      <c r="S13" s="88">
        <v>2950000</v>
      </c>
      <c r="U13" s="110" t="s">
        <v>37</v>
      </c>
      <c r="V13" s="88">
        <f>V12-W13</f>
        <v>2715000</v>
      </c>
      <c r="W13" s="88">
        <f>$S$16</f>
        <v>235000</v>
      </c>
      <c r="X13" s="88">
        <f>W13</f>
        <v>235000</v>
      </c>
      <c r="Z13" s="83" t="s">
        <v>324</v>
      </c>
      <c r="AA13" s="88">
        <v>2750000</v>
      </c>
      <c r="AC13" s="110" t="s">
        <v>37</v>
      </c>
      <c r="AD13" s="88">
        <f>AD12-AE13</f>
        <v>2545000</v>
      </c>
      <c r="AE13" s="88">
        <f>$AA$16</f>
        <v>205000</v>
      </c>
      <c r="AF13" s="88">
        <f>AE13</f>
        <v>205000</v>
      </c>
      <c r="AH13" s="83" t="s">
        <v>324</v>
      </c>
      <c r="AI13" s="88">
        <v>2750000</v>
      </c>
      <c r="AK13" s="110" t="s">
        <v>37</v>
      </c>
      <c r="AL13" s="88">
        <f>AL12-AM13</f>
        <v>2545000</v>
      </c>
      <c r="AM13" s="88">
        <f>$AI$16</f>
        <v>205000</v>
      </c>
      <c r="AN13" s="88">
        <f>AM13</f>
        <v>205000</v>
      </c>
      <c r="AP13" s="83" t="s">
        <v>324</v>
      </c>
      <c r="AQ13" s="88">
        <v>3000000</v>
      </c>
      <c r="AS13" s="110" t="s">
        <v>37</v>
      </c>
      <c r="AT13" s="88">
        <f>AT12-AU13</f>
        <v>2720000</v>
      </c>
      <c r="AU13" s="88">
        <f>$AQ$16</f>
        <v>280000</v>
      </c>
      <c r="AV13" s="88">
        <f>AQ16</f>
        <v>280000</v>
      </c>
      <c r="AX13" s="83" t="s">
        <v>324</v>
      </c>
      <c r="AY13" s="88">
        <v>4100000</v>
      </c>
      <c r="BA13" s="110" t="s">
        <v>37</v>
      </c>
      <c r="BB13" s="88">
        <f>BB12-BC13</f>
        <v>3790000</v>
      </c>
      <c r="BC13" s="88">
        <f>$AY$16</f>
        <v>310000</v>
      </c>
      <c r="BD13" s="88">
        <f>AY16</f>
        <v>310000</v>
      </c>
      <c r="BF13" s="83" t="s">
        <v>324</v>
      </c>
      <c r="BG13" s="88">
        <v>300000</v>
      </c>
      <c r="BI13" s="110" t="s">
        <v>37</v>
      </c>
      <c r="BJ13" s="88">
        <f>BJ12-BK13</f>
        <v>278000</v>
      </c>
      <c r="BK13" s="88">
        <f>$BG$16</f>
        <v>22000</v>
      </c>
      <c r="BL13" s="88">
        <f>BG16</f>
        <v>22000</v>
      </c>
      <c r="BN13" s="16" t="s">
        <v>324</v>
      </c>
      <c r="BO13" s="21">
        <v>3335000</v>
      </c>
      <c r="BQ13" s="22" t="s">
        <v>37</v>
      </c>
      <c r="BR13" s="21">
        <f>BR12-BS13</f>
        <v>3201500</v>
      </c>
      <c r="BS13" s="21">
        <f>$BO$16</f>
        <v>133500</v>
      </c>
      <c r="BT13" s="21">
        <f>BO16</f>
        <v>133500</v>
      </c>
      <c r="BV13" s="83" t="s">
        <v>324</v>
      </c>
      <c r="BW13" s="88">
        <v>3220000</v>
      </c>
      <c r="BY13" s="110" t="s">
        <v>37</v>
      </c>
      <c r="BZ13" s="88">
        <f>BZ12-CA13</f>
        <v>3048000</v>
      </c>
      <c r="CA13" s="88">
        <f>$BW$16</f>
        <v>172000</v>
      </c>
      <c r="CB13" s="88">
        <f>BW16</f>
        <v>172000</v>
      </c>
      <c r="CD13" s="83" t="s">
        <v>324</v>
      </c>
      <c r="CE13" s="88">
        <v>980000</v>
      </c>
      <c r="CG13" s="110" t="s">
        <v>37</v>
      </c>
      <c r="CH13" s="88">
        <f>CH12-CI13</f>
        <v>892000</v>
      </c>
      <c r="CI13" s="88">
        <f>$CE$16</f>
        <v>88000</v>
      </c>
      <c r="CJ13" s="88">
        <f>CE16</f>
        <v>88000</v>
      </c>
      <c r="CL13" s="83" t="s">
        <v>324</v>
      </c>
      <c r="CM13" s="88">
        <v>4500000</v>
      </c>
      <c r="CO13" s="110" t="s">
        <v>37</v>
      </c>
      <c r="CP13" s="88">
        <f>CP12-CQ13</f>
        <v>4150000</v>
      </c>
      <c r="CQ13" s="88">
        <f>$CM$16</f>
        <v>350000</v>
      </c>
      <c r="CR13" s="88">
        <f>CM16</f>
        <v>350000</v>
      </c>
      <c r="CT13" s="83" t="s">
        <v>324</v>
      </c>
      <c r="CU13" s="88">
        <v>510000</v>
      </c>
      <c r="CW13" s="110" t="s">
        <v>37</v>
      </c>
      <c r="CX13" s="88">
        <f>CX12-CY13</f>
        <v>464000</v>
      </c>
      <c r="CY13" s="88">
        <f>$CU$16</f>
        <v>46000</v>
      </c>
      <c r="CZ13" s="88">
        <f>CU16</f>
        <v>46000</v>
      </c>
      <c r="DB13" s="83" t="s">
        <v>324</v>
      </c>
      <c r="DC13" s="88">
        <v>1020000</v>
      </c>
      <c r="DE13" s="110" t="s">
        <v>37</v>
      </c>
      <c r="DF13" s="88">
        <f>DF12-DG13</f>
        <v>924000</v>
      </c>
      <c r="DG13" s="88">
        <f>$DC$16</f>
        <v>96000</v>
      </c>
      <c r="DH13" s="88">
        <f>DC16</f>
        <v>96000</v>
      </c>
      <c r="DJ13" s="83" t="s">
        <v>324</v>
      </c>
      <c r="DK13" s="88">
        <v>2040000</v>
      </c>
      <c r="DM13" s="110" t="s">
        <v>37</v>
      </c>
      <c r="DN13" s="88">
        <f>DN12-DO13</f>
        <v>1846000</v>
      </c>
      <c r="DO13" s="88">
        <f>$DK$16</f>
        <v>194000</v>
      </c>
      <c r="DP13" s="88">
        <f>DK16</f>
        <v>194000</v>
      </c>
      <c r="DR13" s="83" t="s">
        <v>324</v>
      </c>
      <c r="DS13" s="88">
        <v>3150000</v>
      </c>
      <c r="DU13" s="110" t="s">
        <v>37</v>
      </c>
      <c r="DV13" s="88">
        <f>DV12-DW13</f>
        <v>2850000</v>
      </c>
      <c r="DW13" s="88">
        <f>$DS$16</f>
        <v>300000</v>
      </c>
      <c r="DX13" s="88">
        <f>DS16</f>
        <v>300000</v>
      </c>
      <c r="DZ13" s="83" t="s">
        <v>324</v>
      </c>
      <c r="EA13" s="88">
        <v>4080000</v>
      </c>
      <c r="EC13" s="110" t="s">
        <v>37</v>
      </c>
      <c r="ED13" s="88">
        <f>ED12-EE13</f>
        <v>3692000</v>
      </c>
      <c r="EE13" s="88">
        <f>$EA$16</f>
        <v>388000</v>
      </c>
      <c r="EF13" s="88">
        <f>EA16</f>
        <v>388000</v>
      </c>
      <c r="EH13" s="83" t="s">
        <v>324</v>
      </c>
      <c r="EI13" s="88">
        <v>3380000</v>
      </c>
      <c r="EK13" s="203" t="s">
        <v>37</v>
      </c>
      <c r="EL13" s="104">
        <f>EL12-EM13</f>
        <v>3072000</v>
      </c>
      <c r="EM13" s="104">
        <f>$EI$16</f>
        <v>308000</v>
      </c>
      <c r="EN13" s="104">
        <f>EI16</f>
        <v>308000</v>
      </c>
      <c r="EP13" s="83" t="s">
        <v>324</v>
      </c>
      <c r="EQ13" s="88">
        <v>1560000</v>
      </c>
      <c r="ES13" s="110" t="s">
        <v>37</v>
      </c>
      <c r="ET13" s="88">
        <f>ET12-EU13</f>
        <v>1413000</v>
      </c>
      <c r="EU13" s="88">
        <f>$EQ$16</f>
        <v>147000</v>
      </c>
      <c r="EV13" s="88">
        <f>EQ16</f>
        <v>147000</v>
      </c>
      <c r="EX13" s="83" t="s">
        <v>324</v>
      </c>
      <c r="EY13" s="88">
        <v>300000</v>
      </c>
      <c r="FA13" s="110" t="s">
        <v>37</v>
      </c>
      <c r="FB13" s="88">
        <f>FB12-FC13</f>
        <v>280000</v>
      </c>
      <c r="FC13" s="88">
        <f>$EY$16</f>
        <v>20000</v>
      </c>
      <c r="FD13" s="88">
        <f>EY16</f>
        <v>20000</v>
      </c>
      <c r="FF13" s="83" t="s">
        <v>324</v>
      </c>
      <c r="FG13" s="88">
        <v>192000</v>
      </c>
      <c r="FI13" s="110" t="s">
        <v>37</v>
      </c>
      <c r="FJ13" s="88">
        <f>FJ12-FK13</f>
        <v>176800</v>
      </c>
      <c r="FK13" s="88">
        <f>$FG$16</f>
        <v>15200</v>
      </c>
      <c r="FL13" s="88">
        <f>FG16</f>
        <v>15200</v>
      </c>
      <c r="FN13" s="83" t="s">
        <v>324</v>
      </c>
      <c r="FO13" s="88">
        <v>3792448</v>
      </c>
      <c r="FQ13" s="110" t="s">
        <v>37</v>
      </c>
      <c r="FR13" s="88">
        <f>FR12-FS13</f>
        <v>3503203.2</v>
      </c>
      <c r="FS13" s="88">
        <f>$FO$16</f>
        <v>289244.79999999999</v>
      </c>
      <c r="FT13" s="88">
        <f>FO16</f>
        <v>289244.79999999999</v>
      </c>
      <c r="FV13" s="83" t="s">
        <v>324</v>
      </c>
      <c r="FW13" s="88">
        <v>1000000</v>
      </c>
      <c r="FY13" s="110" t="s">
        <v>37</v>
      </c>
      <c r="FZ13" s="88">
        <f>FZ12-GA13</f>
        <v>905000</v>
      </c>
      <c r="GA13" s="88">
        <f>$FW$16</f>
        <v>95000</v>
      </c>
      <c r="GB13" s="88">
        <f>FW16</f>
        <v>95000</v>
      </c>
      <c r="GD13" s="83" t="s">
        <v>324</v>
      </c>
      <c r="GE13" s="88">
        <v>3000000</v>
      </c>
      <c r="GG13" s="110" t="s">
        <v>37</v>
      </c>
      <c r="GH13" s="88">
        <f>GH12-GI13</f>
        <v>2710000</v>
      </c>
      <c r="GI13" s="88">
        <f>$GE$16</f>
        <v>290000</v>
      </c>
      <c r="GJ13" s="88">
        <f>GE16</f>
        <v>290000</v>
      </c>
      <c r="GL13" s="83" t="s">
        <v>324</v>
      </c>
      <c r="GM13" s="88">
        <v>2984000</v>
      </c>
      <c r="GO13" s="110" t="s">
        <v>37</v>
      </c>
      <c r="GP13" s="88">
        <f>GP12-GQ13</f>
        <v>2765600</v>
      </c>
      <c r="GQ13" s="88">
        <f>$GM$16</f>
        <v>218400</v>
      </c>
      <c r="GR13" s="88">
        <f>GM16</f>
        <v>218400</v>
      </c>
      <c r="GT13" s="83" t="s">
        <v>324</v>
      </c>
      <c r="GU13" s="88">
        <v>1537320</v>
      </c>
      <c r="GW13" s="110" t="s">
        <v>37</v>
      </c>
      <c r="GX13" s="88">
        <f>GX12-GY13</f>
        <v>1391588</v>
      </c>
      <c r="GY13" s="88">
        <f>$GU$16</f>
        <v>145732</v>
      </c>
      <c r="GZ13" s="88">
        <f>GU16</f>
        <v>145732</v>
      </c>
      <c r="HB13" s="83" t="s">
        <v>324</v>
      </c>
      <c r="HC13" s="88">
        <v>1400000</v>
      </c>
      <c r="HE13" s="110" t="s">
        <v>37</v>
      </c>
      <c r="HF13" s="88">
        <f>HF12-HG13</f>
        <v>1270000</v>
      </c>
      <c r="HG13" s="88">
        <f>$HC$16</f>
        <v>130000</v>
      </c>
      <c r="HH13" s="88">
        <f>HC16</f>
        <v>130000</v>
      </c>
      <c r="HJ13" s="83" t="s">
        <v>324</v>
      </c>
      <c r="HK13" s="88">
        <v>1400000</v>
      </c>
      <c r="HM13" s="110" t="s">
        <v>37</v>
      </c>
      <c r="HN13" s="88">
        <f>HN12-HO13</f>
        <v>1270000</v>
      </c>
      <c r="HO13" s="88">
        <f>$HK$16</f>
        <v>130000</v>
      </c>
      <c r="HP13" s="88">
        <f>HK16</f>
        <v>130000</v>
      </c>
      <c r="HR13" s="83" t="s">
        <v>324</v>
      </c>
      <c r="HS13" s="88">
        <v>1400000</v>
      </c>
      <c r="HU13" s="110" t="s">
        <v>37</v>
      </c>
      <c r="HV13" s="88">
        <f>HV12-HW13</f>
        <v>1270000</v>
      </c>
      <c r="HW13" s="88">
        <f>$HS$16</f>
        <v>130000</v>
      </c>
      <c r="HX13" s="88">
        <f>HS16</f>
        <v>130000</v>
      </c>
      <c r="HZ13" s="83" t="s">
        <v>324</v>
      </c>
      <c r="IA13" s="88">
        <v>70000</v>
      </c>
      <c r="IC13" s="110" t="s">
        <v>37</v>
      </c>
      <c r="ID13" s="88">
        <f>ID12-IE13</f>
        <v>64000</v>
      </c>
      <c r="IE13" s="88">
        <f>$IA$16</f>
        <v>6000</v>
      </c>
      <c r="IF13" s="88">
        <f>IE13</f>
        <v>6000</v>
      </c>
      <c r="IH13" s="83" t="s">
        <v>324</v>
      </c>
      <c r="II13" s="88">
        <v>45000</v>
      </c>
      <c r="IK13" s="110" t="s">
        <v>37</v>
      </c>
      <c r="IL13" s="88">
        <f>IL12-IM13</f>
        <v>41000</v>
      </c>
      <c r="IM13" s="88">
        <f>$II$16</f>
        <v>4000</v>
      </c>
      <c r="IN13" s="88">
        <f>IM13</f>
        <v>4000</v>
      </c>
      <c r="IP13" s="83" t="s">
        <v>324</v>
      </c>
      <c r="IQ13" s="88">
        <v>2380000</v>
      </c>
      <c r="IS13" s="110" t="s">
        <v>37</v>
      </c>
      <c r="IT13" s="88">
        <f>IT12-IU13</f>
        <v>2152000</v>
      </c>
      <c r="IU13" s="88">
        <f>$IQ$16</f>
        <v>228000</v>
      </c>
      <c r="IV13" s="88">
        <f>IU13</f>
        <v>228000</v>
      </c>
      <c r="IX13" s="83" t="s">
        <v>324</v>
      </c>
      <c r="IY13" s="88">
        <v>295000</v>
      </c>
      <c r="JA13" s="110" t="s">
        <v>37</v>
      </c>
      <c r="JB13" s="88">
        <f>JB12-JC13</f>
        <v>268500</v>
      </c>
      <c r="JC13" s="88">
        <f>$IY$16</f>
        <v>26500</v>
      </c>
      <c r="JD13" s="88">
        <f>JC13</f>
        <v>26500</v>
      </c>
      <c r="JF13" s="83" t="s">
        <v>324</v>
      </c>
      <c r="JG13" s="88">
        <v>20000000</v>
      </c>
      <c r="JI13" s="110" t="s">
        <v>37</v>
      </c>
      <c r="JJ13" s="88">
        <f>JJ12-JK13</f>
        <v>18100000</v>
      </c>
      <c r="JK13" s="88">
        <f>$JG$16</f>
        <v>1900000</v>
      </c>
      <c r="JL13" s="88">
        <f>JK13</f>
        <v>1900000</v>
      </c>
      <c r="JN13" s="83" t="s">
        <v>324</v>
      </c>
      <c r="JO13" s="88">
        <v>33900</v>
      </c>
      <c r="JQ13" s="110" t="s">
        <v>37</v>
      </c>
      <c r="JR13" s="88">
        <f>JR12-JS13</f>
        <v>28750</v>
      </c>
      <c r="JS13" s="88">
        <f>$JO$16</f>
        <v>5150</v>
      </c>
      <c r="JT13" s="88">
        <f>JS13</f>
        <v>5150</v>
      </c>
      <c r="JV13" s="83" t="s">
        <v>324</v>
      </c>
      <c r="JW13" s="88">
        <v>199900</v>
      </c>
      <c r="JY13" s="110" t="s">
        <v>37</v>
      </c>
      <c r="JZ13" s="88">
        <f>JZ12-KA13</f>
        <v>173250</v>
      </c>
      <c r="KA13" s="88">
        <f>$JW$16</f>
        <v>26650</v>
      </c>
      <c r="KB13" s="88">
        <f>KA13</f>
        <v>26650</v>
      </c>
      <c r="KD13" s="83" t="s">
        <v>324</v>
      </c>
      <c r="KE13" s="88">
        <v>2199000</v>
      </c>
      <c r="KG13" s="110" t="s">
        <v>37</v>
      </c>
      <c r="KH13" s="88">
        <f>KH12-KI13</f>
        <v>1839200</v>
      </c>
      <c r="KI13" s="88">
        <f>$KE$16</f>
        <v>359800</v>
      </c>
      <c r="KJ13" s="88">
        <f>KI13</f>
        <v>359800</v>
      </c>
      <c r="KL13" s="83" t="s">
        <v>324</v>
      </c>
      <c r="KM13" s="88">
        <v>119900</v>
      </c>
      <c r="KO13" s="110" t="s">
        <v>37</v>
      </c>
      <c r="KP13" s="88">
        <f>KP12-KQ13</f>
        <v>101920</v>
      </c>
      <c r="KQ13" s="88">
        <f>$KM$16</f>
        <v>17980</v>
      </c>
      <c r="KR13" s="88">
        <f>KQ13</f>
        <v>17980</v>
      </c>
      <c r="KT13" s="15"/>
      <c r="KU13" s="31"/>
      <c r="KW13" s="30"/>
      <c r="KX13" s="31"/>
      <c r="KY13" s="31"/>
      <c r="KZ13" s="31"/>
    </row>
    <row r="14" spans="2:312" ht="15.75" x14ac:dyDescent="0.25">
      <c r="B14" s="83" t="s">
        <v>324</v>
      </c>
      <c r="C14" s="88">
        <v>9200000</v>
      </c>
      <c r="D14" s="20"/>
      <c r="E14" s="110" t="s">
        <v>37</v>
      </c>
      <c r="F14" s="88">
        <f>F13-G14</f>
        <v>8480000</v>
      </c>
      <c r="G14" s="88">
        <f>$C$17</f>
        <v>720000</v>
      </c>
      <c r="H14" s="88">
        <f>G14</f>
        <v>720000</v>
      </c>
      <c r="I14" s="15"/>
      <c r="J14" s="83" t="s">
        <v>325</v>
      </c>
      <c r="K14" s="88">
        <v>1500000</v>
      </c>
      <c r="M14" s="110" t="s">
        <v>326</v>
      </c>
      <c r="N14" s="88">
        <f>N13-O13</f>
        <v>2860000</v>
      </c>
      <c r="O14" s="88">
        <f t="shared" ref="O14:O22" si="0">$K$16</f>
        <v>170000</v>
      </c>
      <c r="P14" s="88">
        <f>P13+O14</f>
        <v>340000</v>
      </c>
      <c r="R14" s="83" t="s">
        <v>325</v>
      </c>
      <c r="S14" s="88">
        <v>600000</v>
      </c>
      <c r="U14" s="110" t="s">
        <v>326</v>
      </c>
      <c r="V14" s="88">
        <f>V13-W14</f>
        <v>2480000</v>
      </c>
      <c r="W14" s="88">
        <f t="shared" ref="W14:W22" si="1">$S$16</f>
        <v>235000</v>
      </c>
      <c r="X14" s="88">
        <f>X13+W14</f>
        <v>470000</v>
      </c>
      <c r="Z14" s="83" t="s">
        <v>325</v>
      </c>
      <c r="AA14" s="88">
        <v>700000</v>
      </c>
      <c r="AC14" s="110" t="s">
        <v>326</v>
      </c>
      <c r="AD14" s="88">
        <f t="shared" ref="AD14:AD22" si="2">AD13-AE14</f>
        <v>2340000</v>
      </c>
      <c r="AE14" s="88">
        <f t="shared" ref="AE14:AE22" si="3">$AA$16</f>
        <v>205000</v>
      </c>
      <c r="AF14" s="88">
        <f>AE14+AF13</f>
        <v>410000</v>
      </c>
      <c r="AH14" s="83" t="s">
        <v>325</v>
      </c>
      <c r="AI14" s="88">
        <v>700000</v>
      </c>
      <c r="AK14" s="110" t="s">
        <v>326</v>
      </c>
      <c r="AL14" s="88">
        <f t="shared" ref="AL14:AL22" si="4">AL13-AM14</f>
        <v>2340000</v>
      </c>
      <c r="AM14" s="88">
        <f t="shared" ref="AM14:AM22" si="5">$AI$16</f>
        <v>205000</v>
      </c>
      <c r="AN14" s="88">
        <f>AM14+AN13</f>
        <v>410000</v>
      </c>
      <c r="AP14" s="83" t="s">
        <v>325</v>
      </c>
      <c r="AQ14" s="88">
        <v>200000</v>
      </c>
      <c r="AS14" s="110" t="s">
        <v>326</v>
      </c>
      <c r="AT14" s="88">
        <f t="shared" ref="AT14:AT22" si="6">AT13-AU14</f>
        <v>2440000</v>
      </c>
      <c r="AU14" s="88">
        <f t="shared" ref="AU14:AU22" si="7">$AQ$16</f>
        <v>280000</v>
      </c>
      <c r="AV14" s="88">
        <f>AU14+AV13</f>
        <v>560000</v>
      </c>
      <c r="AX14" s="83" t="s">
        <v>325</v>
      </c>
      <c r="AY14" s="88">
        <v>1000000</v>
      </c>
      <c r="BA14" s="110" t="s">
        <v>326</v>
      </c>
      <c r="BB14" s="88">
        <f t="shared" ref="BB14:BB22" si="8">BB13-BC14</f>
        <v>3480000</v>
      </c>
      <c r="BC14" s="88">
        <f t="shared" ref="BC14:BC22" si="9">$AY$16</f>
        <v>310000</v>
      </c>
      <c r="BD14" s="88">
        <f>BC14+BD13</f>
        <v>620000</v>
      </c>
      <c r="BF14" s="83" t="s">
        <v>325</v>
      </c>
      <c r="BG14" s="88">
        <v>80000</v>
      </c>
      <c r="BI14" s="110" t="s">
        <v>326</v>
      </c>
      <c r="BJ14" s="88">
        <f t="shared" ref="BJ14:BJ22" si="10">BJ13-BK14</f>
        <v>256000</v>
      </c>
      <c r="BK14" s="88">
        <f t="shared" ref="BK14:BK22" si="11">$BG$16</f>
        <v>22000</v>
      </c>
      <c r="BL14" s="88">
        <f>BK14+BL13</f>
        <v>44000</v>
      </c>
      <c r="BN14" s="16" t="s">
        <v>325</v>
      </c>
      <c r="BO14" s="21">
        <v>2000000</v>
      </c>
      <c r="BQ14" s="22" t="s">
        <v>326</v>
      </c>
      <c r="BR14" s="21">
        <f t="shared" ref="BR14:BR22" si="12">BR13-BS14</f>
        <v>3068000</v>
      </c>
      <c r="BS14" s="21">
        <f t="shared" ref="BS14:BS22" si="13">$BO$16</f>
        <v>133500</v>
      </c>
      <c r="BT14" s="21">
        <f>BS14+BT13</f>
        <v>267000</v>
      </c>
      <c r="BV14" s="83" t="s">
        <v>325</v>
      </c>
      <c r="BW14" s="88">
        <v>1500000</v>
      </c>
      <c r="BY14" s="110" t="s">
        <v>326</v>
      </c>
      <c r="BZ14" s="88">
        <f t="shared" ref="BZ14:BZ22" si="14">BZ13-CA14</f>
        <v>2876000</v>
      </c>
      <c r="CA14" s="88">
        <f t="shared" ref="CA14:CA22" si="15">$BW$16</f>
        <v>172000</v>
      </c>
      <c r="CB14" s="88">
        <f>CA14+CB13</f>
        <v>344000</v>
      </c>
      <c r="CD14" s="83" t="s">
        <v>325</v>
      </c>
      <c r="CE14" s="88">
        <v>100000</v>
      </c>
      <c r="CG14" s="110" t="s">
        <v>326</v>
      </c>
      <c r="CH14" s="88">
        <f t="shared" ref="CH14:CH22" si="16">CH13-CI14</f>
        <v>804000</v>
      </c>
      <c r="CI14" s="88">
        <f t="shared" ref="CI14:CI22" si="17">$CE$16</f>
        <v>88000</v>
      </c>
      <c r="CJ14" s="88">
        <f>CI14+CJ13</f>
        <v>176000</v>
      </c>
      <c r="CL14" s="83" t="s">
        <v>325</v>
      </c>
      <c r="CM14" s="88">
        <v>1000000</v>
      </c>
      <c r="CO14" s="110" t="s">
        <v>326</v>
      </c>
      <c r="CP14" s="88">
        <f t="shared" ref="CP14:CP22" si="18">CP13-CQ14</f>
        <v>3800000</v>
      </c>
      <c r="CQ14" s="88">
        <f t="shared" ref="CQ14:CQ22" si="19">$CM$16</f>
        <v>350000</v>
      </c>
      <c r="CR14" s="88">
        <f>CQ14+CR13</f>
        <v>700000</v>
      </c>
      <c r="CT14" s="83" t="s">
        <v>325</v>
      </c>
      <c r="CU14" s="88">
        <v>50000</v>
      </c>
      <c r="CW14" s="110" t="s">
        <v>326</v>
      </c>
      <c r="CX14" s="88">
        <f t="shared" ref="CX14:CX22" si="20">CX13-CY14</f>
        <v>418000</v>
      </c>
      <c r="CY14" s="88">
        <f t="shared" ref="CY14:CY22" si="21">$CU$16</f>
        <v>46000</v>
      </c>
      <c r="CZ14" s="88">
        <f>CY14+CZ13</f>
        <v>92000</v>
      </c>
      <c r="DB14" s="83" t="s">
        <v>325</v>
      </c>
      <c r="DC14" s="88">
        <v>60000</v>
      </c>
      <c r="DE14" s="110" t="s">
        <v>326</v>
      </c>
      <c r="DF14" s="88">
        <f t="shared" ref="DF14:DF22" si="22">DF13-DG14</f>
        <v>828000</v>
      </c>
      <c r="DG14" s="88">
        <f t="shared" ref="DG14:DG22" si="23">$DC$16</f>
        <v>96000</v>
      </c>
      <c r="DH14" s="88">
        <f>DG14+DH13</f>
        <v>192000</v>
      </c>
      <c r="DJ14" s="83" t="s">
        <v>325</v>
      </c>
      <c r="DK14" s="88">
        <v>100000</v>
      </c>
      <c r="DM14" s="110" t="s">
        <v>326</v>
      </c>
      <c r="DN14" s="88">
        <f t="shared" ref="DN14:DN22" si="24">DN13-DO14</f>
        <v>1652000</v>
      </c>
      <c r="DO14" s="88">
        <f t="shared" ref="DO14:DO22" si="25">$DK$16</f>
        <v>194000</v>
      </c>
      <c r="DP14" s="88">
        <f>DO14+DP13</f>
        <v>388000</v>
      </c>
      <c r="DR14" s="83" t="s">
        <v>325</v>
      </c>
      <c r="DS14" s="88">
        <v>150000</v>
      </c>
      <c r="DU14" s="110" t="s">
        <v>326</v>
      </c>
      <c r="DV14" s="88">
        <f t="shared" ref="DV14:DV22" si="26">DV13-DW14</f>
        <v>2550000</v>
      </c>
      <c r="DW14" s="88">
        <f t="shared" ref="DW14:DW22" si="27">$DS$16</f>
        <v>300000</v>
      </c>
      <c r="DX14" s="88">
        <f>DW14+DX13</f>
        <v>600000</v>
      </c>
      <c r="DZ14" s="83" t="s">
        <v>325</v>
      </c>
      <c r="EA14" s="88">
        <v>200000</v>
      </c>
      <c r="EC14" s="110" t="s">
        <v>326</v>
      </c>
      <c r="ED14" s="88">
        <f t="shared" ref="ED14:ED22" si="28">ED13-EE14</f>
        <v>3304000</v>
      </c>
      <c r="EE14" s="88">
        <f t="shared" ref="EE14:EE22" si="29">$EA$16</f>
        <v>388000</v>
      </c>
      <c r="EF14" s="88">
        <f>EE14+EF13</f>
        <v>776000</v>
      </c>
      <c r="EH14" s="83" t="s">
        <v>325</v>
      </c>
      <c r="EI14" s="88">
        <v>300000</v>
      </c>
      <c r="EK14" s="203" t="s">
        <v>326</v>
      </c>
      <c r="EL14" s="104">
        <f t="shared" ref="EL14:EL22" si="30">EL13-EM14</f>
        <v>2764000</v>
      </c>
      <c r="EM14" s="104">
        <f t="shared" ref="EM14:EM22" si="31">$EI$16</f>
        <v>308000</v>
      </c>
      <c r="EN14" s="104">
        <f>EM14+EN13</f>
        <v>616000</v>
      </c>
      <c r="EP14" s="83" t="s">
        <v>325</v>
      </c>
      <c r="EQ14" s="88">
        <v>90000</v>
      </c>
      <c r="ES14" s="110" t="s">
        <v>326</v>
      </c>
      <c r="ET14" s="88">
        <f t="shared" ref="ET14:ET22" si="32">ET13-EU14</f>
        <v>1266000</v>
      </c>
      <c r="EU14" s="88">
        <f t="shared" ref="EU14:EU22" si="33">$EQ$16</f>
        <v>147000</v>
      </c>
      <c r="EV14" s="88">
        <f>EU14+EV13</f>
        <v>294000</v>
      </c>
      <c r="EX14" s="83" t="s">
        <v>325</v>
      </c>
      <c r="EY14" s="88">
        <v>100000</v>
      </c>
      <c r="FA14" s="110" t="s">
        <v>326</v>
      </c>
      <c r="FB14" s="88">
        <f t="shared" ref="FB14:FB22" si="34">FB13-FC14</f>
        <v>260000</v>
      </c>
      <c r="FC14" s="88">
        <f t="shared" ref="FC14:FC22" si="35">$EY$16</f>
        <v>20000</v>
      </c>
      <c r="FD14" s="88">
        <f>FC14+FD13</f>
        <v>40000</v>
      </c>
      <c r="FF14" s="83" t="s">
        <v>325</v>
      </c>
      <c r="FG14" s="88">
        <v>40000</v>
      </c>
      <c r="FI14" s="110" t="s">
        <v>326</v>
      </c>
      <c r="FJ14" s="88">
        <f t="shared" ref="FJ14:FJ22" si="36">FJ13-FK14</f>
        <v>161600</v>
      </c>
      <c r="FK14" s="88">
        <f t="shared" ref="FK14:FK22" si="37">$FG$16</f>
        <v>15200</v>
      </c>
      <c r="FL14" s="88">
        <f>FK14+FL13</f>
        <v>30400</v>
      </c>
      <c r="FN14" s="83" t="s">
        <v>325</v>
      </c>
      <c r="FO14" s="88">
        <v>900000</v>
      </c>
      <c r="FQ14" s="110" t="s">
        <v>326</v>
      </c>
      <c r="FR14" s="88">
        <f t="shared" ref="FR14:FR22" si="38">FR13-FS14</f>
        <v>3213958.4000000004</v>
      </c>
      <c r="FS14" s="88">
        <f t="shared" ref="FS14:FS22" si="39">$FO$16</f>
        <v>289244.79999999999</v>
      </c>
      <c r="FT14" s="88">
        <f>FS14+FT13</f>
        <v>578489.59999999998</v>
      </c>
      <c r="FV14" s="83" t="s">
        <v>325</v>
      </c>
      <c r="FW14" s="88">
        <v>50000</v>
      </c>
      <c r="FY14" s="110" t="s">
        <v>326</v>
      </c>
      <c r="FZ14" s="88">
        <f t="shared" ref="FZ14:FZ22" si="40">FZ13-GA14</f>
        <v>810000</v>
      </c>
      <c r="GA14" s="88">
        <f t="shared" ref="GA14:GA22" si="41">$FW$16</f>
        <v>95000</v>
      </c>
      <c r="GB14" s="88">
        <f>GA14+GB13</f>
        <v>190000</v>
      </c>
      <c r="GD14" s="83" t="s">
        <v>325</v>
      </c>
      <c r="GE14" s="88">
        <v>100000</v>
      </c>
      <c r="GG14" s="110" t="s">
        <v>326</v>
      </c>
      <c r="GH14" s="88">
        <f t="shared" ref="GH14:GH22" si="42">GH13-GI14</f>
        <v>2420000</v>
      </c>
      <c r="GI14" s="88">
        <f t="shared" ref="GI14:GI22" si="43">$GE$16</f>
        <v>290000</v>
      </c>
      <c r="GJ14" s="88">
        <f>GI14+GJ13</f>
        <v>580000</v>
      </c>
      <c r="GL14" s="83" t="s">
        <v>325</v>
      </c>
      <c r="GM14" s="88">
        <v>800000</v>
      </c>
      <c r="GO14" s="110" t="s">
        <v>326</v>
      </c>
      <c r="GP14" s="88">
        <f t="shared" ref="GP14:GP22" si="44">GP13-GQ14</f>
        <v>2547200</v>
      </c>
      <c r="GQ14" s="88">
        <f t="shared" ref="GQ14:GQ22" si="45">$GM$16</f>
        <v>218400</v>
      </c>
      <c r="GR14" s="88">
        <f>GQ14+GR13</f>
        <v>436800</v>
      </c>
      <c r="GT14" s="83" t="s">
        <v>325</v>
      </c>
      <c r="GU14" s="88">
        <v>80000</v>
      </c>
      <c r="GW14" s="110" t="s">
        <v>326</v>
      </c>
      <c r="GX14" s="88">
        <f t="shared" ref="GX14:GX22" si="46">GX13-GY14</f>
        <v>1245856</v>
      </c>
      <c r="GY14" s="88">
        <f t="shared" ref="GY14:GY22" si="47">$GU$16</f>
        <v>145732</v>
      </c>
      <c r="GZ14" s="88">
        <f>GY14+GZ13</f>
        <v>291464</v>
      </c>
      <c r="HB14" s="83" t="s">
        <v>325</v>
      </c>
      <c r="HC14" s="88">
        <v>100000</v>
      </c>
      <c r="HE14" s="110" t="s">
        <v>326</v>
      </c>
      <c r="HF14" s="88">
        <f t="shared" ref="HF14:HF22" si="48">HF13-HG14</f>
        <v>1140000</v>
      </c>
      <c r="HG14" s="88">
        <f t="shared" ref="HG14:HG22" si="49">$HC$16</f>
        <v>130000</v>
      </c>
      <c r="HH14" s="88">
        <f>HG14+HH13</f>
        <v>260000</v>
      </c>
      <c r="HJ14" s="83" t="s">
        <v>325</v>
      </c>
      <c r="HK14" s="88">
        <v>100000</v>
      </c>
      <c r="HM14" s="110" t="s">
        <v>326</v>
      </c>
      <c r="HN14" s="88">
        <f t="shared" ref="HN14:HN22" si="50">HN13-HO14</f>
        <v>1140000</v>
      </c>
      <c r="HO14" s="88">
        <f t="shared" ref="HO14:HO22" si="51">$HK$16</f>
        <v>130000</v>
      </c>
      <c r="HP14" s="88">
        <f>HO14+HP13</f>
        <v>260000</v>
      </c>
      <c r="HR14" s="83" t="s">
        <v>325</v>
      </c>
      <c r="HS14" s="88">
        <v>100000</v>
      </c>
      <c r="HU14" s="110" t="s">
        <v>326</v>
      </c>
      <c r="HV14" s="88">
        <f t="shared" ref="HV14:HV22" si="52">HV13-HW14</f>
        <v>1140000</v>
      </c>
      <c r="HW14" s="88">
        <f t="shared" ref="HW14:HW22" si="53">$HS$16</f>
        <v>130000</v>
      </c>
      <c r="HX14" s="88">
        <f>HW14+HX13</f>
        <v>260000</v>
      </c>
      <c r="HZ14" s="83" t="s">
        <v>325</v>
      </c>
      <c r="IA14" s="88">
        <v>10000</v>
      </c>
      <c r="IC14" s="110" t="s">
        <v>326</v>
      </c>
      <c r="ID14" s="88">
        <f t="shared" ref="ID14:ID22" si="54">ID13-IE14</f>
        <v>58000</v>
      </c>
      <c r="IE14" s="88">
        <f t="shared" ref="IE14:IE22" si="55">$IA$16</f>
        <v>6000</v>
      </c>
      <c r="IF14" s="88">
        <f>IE14+IF13</f>
        <v>12000</v>
      </c>
      <c r="IH14" s="83" t="s">
        <v>325</v>
      </c>
      <c r="II14" s="88">
        <v>5000</v>
      </c>
      <c r="IK14" s="110" t="s">
        <v>326</v>
      </c>
      <c r="IL14" s="88">
        <f t="shared" ref="IL14:IL22" si="56">IL13-IM14</f>
        <v>37000</v>
      </c>
      <c r="IM14" s="88">
        <f t="shared" ref="IM14:IM22" si="57">$II$16</f>
        <v>4000</v>
      </c>
      <c r="IN14" s="88">
        <f>IM14+IN13</f>
        <v>8000</v>
      </c>
      <c r="IP14" s="83" t="s">
        <v>325</v>
      </c>
      <c r="IQ14" s="88">
        <v>100000</v>
      </c>
      <c r="IS14" s="110" t="s">
        <v>326</v>
      </c>
      <c r="IT14" s="88">
        <f t="shared" ref="IT14:IT22" si="58">IT13-IU14</f>
        <v>1924000</v>
      </c>
      <c r="IU14" s="88">
        <f t="shared" ref="IU14:IU22" si="59">$IQ$16</f>
        <v>228000</v>
      </c>
      <c r="IV14" s="88">
        <f>IU14+IV13</f>
        <v>456000</v>
      </c>
      <c r="IX14" s="83" t="s">
        <v>325</v>
      </c>
      <c r="IY14" s="88">
        <v>30000</v>
      </c>
      <c r="JA14" s="110" t="s">
        <v>326</v>
      </c>
      <c r="JB14" s="88">
        <f t="shared" ref="JB14:JB22" si="60">JB13-JC14</f>
        <v>242000</v>
      </c>
      <c r="JC14" s="88">
        <f t="shared" ref="JC14:JC22" si="61">$IY$16</f>
        <v>26500</v>
      </c>
      <c r="JD14" s="88">
        <f>JC14+JD13</f>
        <v>53000</v>
      </c>
      <c r="JF14" s="83" t="s">
        <v>325</v>
      </c>
      <c r="JG14" s="88">
        <v>1000000</v>
      </c>
      <c r="JI14" s="110" t="s">
        <v>326</v>
      </c>
      <c r="JJ14" s="88">
        <f t="shared" ref="JJ14:JJ22" si="62">JJ13-JK14</f>
        <v>16200000</v>
      </c>
      <c r="JK14" s="88">
        <f t="shared" ref="JK14:JK22" si="63">$JG$16</f>
        <v>1900000</v>
      </c>
      <c r="JL14" s="88">
        <f>JK14+JL13</f>
        <v>3800000</v>
      </c>
      <c r="JN14" s="83" t="s">
        <v>325</v>
      </c>
      <c r="JO14" s="88">
        <v>3000</v>
      </c>
      <c r="JQ14" s="110" t="s">
        <v>326</v>
      </c>
      <c r="JR14" s="88">
        <f t="shared" ref="JR14:JR18" si="64">JR13-JS14</f>
        <v>23600</v>
      </c>
      <c r="JS14" s="88">
        <f t="shared" ref="JS14:JS18" si="65">$JO$16</f>
        <v>5150</v>
      </c>
      <c r="JT14" s="88">
        <f>JS14+JT13</f>
        <v>10300</v>
      </c>
      <c r="JV14" s="83" t="s">
        <v>325</v>
      </c>
      <c r="JW14" s="88">
        <v>40000</v>
      </c>
      <c r="JY14" s="110" t="s">
        <v>326</v>
      </c>
      <c r="JZ14" s="88">
        <f t="shared" ref="JZ14:JZ18" si="66">JZ13-KA14</f>
        <v>146600</v>
      </c>
      <c r="KA14" s="88">
        <f t="shared" ref="KA14:KA18" si="67">$JW$16</f>
        <v>26650</v>
      </c>
      <c r="KB14" s="88">
        <f>KA14+KB13</f>
        <v>53300</v>
      </c>
      <c r="KD14" s="83" t="s">
        <v>325</v>
      </c>
      <c r="KE14" s="88">
        <v>400000</v>
      </c>
      <c r="KG14" s="110" t="s">
        <v>326</v>
      </c>
      <c r="KH14" s="88">
        <f t="shared" ref="KH14:KH17" si="68">KH13-KI14</f>
        <v>1479400</v>
      </c>
      <c r="KI14" s="88">
        <f t="shared" ref="KI14:KI17" si="69">$KE$16</f>
        <v>359800</v>
      </c>
      <c r="KJ14" s="88">
        <f>KI14+KJ13</f>
        <v>719600</v>
      </c>
      <c r="KL14" s="83" t="s">
        <v>325</v>
      </c>
      <c r="KM14" s="88">
        <v>30000</v>
      </c>
      <c r="KO14" s="110" t="s">
        <v>326</v>
      </c>
      <c r="KP14" s="88">
        <f t="shared" ref="KP14:KP17" si="70">KP13-KQ14</f>
        <v>83940</v>
      </c>
      <c r="KQ14" s="88">
        <f t="shared" ref="KQ14:KQ17" si="71">$KM$16</f>
        <v>17980</v>
      </c>
      <c r="KR14" s="88">
        <f>KQ14+KR13</f>
        <v>35960</v>
      </c>
      <c r="KT14" s="15"/>
      <c r="KU14" s="31"/>
      <c r="KW14" s="30"/>
      <c r="KX14" s="31"/>
      <c r="KY14" s="31"/>
      <c r="KZ14" s="31"/>
    </row>
    <row r="15" spans="2:312" ht="15.75" x14ac:dyDescent="0.25">
      <c r="B15" s="83" t="s">
        <v>325</v>
      </c>
      <c r="C15" s="88">
        <v>2000000</v>
      </c>
      <c r="D15" s="20"/>
      <c r="E15" s="110" t="s">
        <v>326</v>
      </c>
      <c r="F15" s="88">
        <f>F14-G15</f>
        <v>7760000</v>
      </c>
      <c r="G15" s="88">
        <f t="shared" ref="G15:G23" si="72">$C$17</f>
        <v>720000</v>
      </c>
      <c r="H15" s="88">
        <f>H14+G15</f>
        <v>1440000</v>
      </c>
      <c r="I15" s="15"/>
      <c r="J15" s="83" t="s">
        <v>327</v>
      </c>
      <c r="K15" s="187">
        <v>10</v>
      </c>
      <c r="M15" s="110" t="s">
        <v>39</v>
      </c>
      <c r="N15" s="88">
        <f t="shared" ref="N15:N22" si="73">N14-O14</f>
        <v>2690000</v>
      </c>
      <c r="O15" s="88">
        <f t="shared" si="0"/>
        <v>170000</v>
      </c>
      <c r="P15" s="88">
        <f t="shared" ref="P15:P21" si="74">P14+O15</f>
        <v>510000</v>
      </c>
      <c r="R15" s="83" t="s">
        <v>327</v>
      </c>
      <c r="S15" s="187">
        <v>10</v>
      </c>
      <c r="U15" s="110" t="s">
        <v>39</v>
      </c>
      <c r="V15" s="88">
        <f t="shared" ref="V15:V22" si="75">V14-W15</f>
        <v>2245000</v>
      </c>
      <c r="W15" s="88">
        <f t="shared" si="1"/>
        <v>235000</v>
      </c>
      <c r="X15" s="88">
        <f t="shared" ref="X15:X22" si="76">X14+W15</f>
        <v>705000</v>
      </c>
      <c r="Z15" s="83" t="s">
        <v>327</v>
      </c>
      <c r="AA15" s="187">
        <v>10</v>
      </c>
      <c r="AC15" s="110" t="s">
        <v>39</v>
      </c>
      <c r="AD15" s="88">
        <f t="shared" si="2"/>
        <v>2135000</v>
      </c>
      <c r="AE15" s="88">
        <f t="shared" si="3"/>
        <v>205000</v>
      </c>
      <c r="AF15" s="88">
        <f t="shared" ref="AF15:AF22" si="77">AE15+AF14</f>
        <v>615000</v>
      </c>
      <c r="AH15" s="83" t="s">
        <v>327</v>
      </c>
      <c r="AI15" s="187">
        <v>10</v>
      </c>
      <c r="AK15" s="110" t="s">
        <v>39</v>
      </c>
      <c r="AL15" s="88">
        <f t="shared" si="4"/>
        <v>2135000</v>
      </c>
      <c r="AM15" s="88">
        <f t="shared" si="5"/>
        <v>205000</v>
      </c>
      <c r="AN15" s="88">
        <f t="shared" ref="AN15:AN22" si="78">AM15+AN14</f>
        <v>615000</v>
      </c>
      <c r="AP15" s="83" t="s">
        <v>327</v>
      </c>
      <c r="AQ15" s="187">
        <v>10</v>
      </c>
      <c r="AS15" s="110" t="s">
        <v>39</v>
      </c>
      <c r="AT15" s="88">
        <f t="shared" si="6"/>
        <v>2160000</v>
      </c>
      <c r="AU15" s="88">
        <f t="shared" si="7"/>
        <v>280000</v>
      </c>
      <c r="AV15" s="88">
        <f t="shared" ref="AV15:AV22" si="79">AU15+AV14</f>
        <v>840000</v>
      </c>
      <c r="AX15" s="83" t="s">
        <v>327</v>
      </c>
      <c r="AY15" s="187">
        <v>10</v>
      </c>
      <c r="BA15" s="110" t="s">
        <v>39</v>
      </c>
      <c r="BB15" s="88">
        <f t="shared" si="8"/>
        <v>3170000</v>
      </c>
      <c r="BC15" s="88">
        <f t="shared" si="9"/>
        <v>310000</v>
      </c>
      <c r="BD15" s="88">
        <f t="shared" ref="BD15:BD22" si="80">BC15+BD14</f>
        <v>930000</v>
      </c>
      <c r="BF15" s="83" t="s">
        <v>327</v>
      </c>
      <c r="BG15" s="187">
        <v>10</v>
      </c>
      <c r="BI15" s="110" t="s">
        <v>39</v>
      </c>
      <c r="BJ15" s="88">
        <f t="shared" si="10"/>
        <v>234000</v>
      </c>
      <c r="BK15" s="88">
        <f t="shared" si="11"/>
        <v>22000</v>
      </c>
      <c r="BL15" s="88">
        <f t="shared" ref="BL15:BL22" si="81">BK15+BL14</f>
        <v>66000</v>
      </c>
      <c r="BN15" s="16" t="s">
        <v>327</v>
      </c>
      <c r="BO15" s="29">
        <v>10</v>
      </c>
      <c r="BQ15" s="22" t="s">
        <v>39</v>
      </c>
      <c r="BR15" s="21">
        <f t="shared" si="12"/>
        <v>2934500</v>
      </c>
      <c r="BS15" s="21">
        <f t="shared" si="13"/>
        <v>133500</v>
      </c>
      <c r="BT15" s="21">
        <f t="shared" ref="BT15:BT22" si="82">BS15+BT14</f>
        <v>400500</v>
      </c>
      <c r="BV15" s="83" t="s">
        <v>327</v>
      </c>
      <c r="BW15" s="187">
        <v>10</v>
      </c>
      <c r="BY15" s="110" t="s">
        <v>39</v>
      </c>
      <c r="BZ15" s="88">
        <f t="shared" si="14"/>
        <v>2704000</v>
      </c>
      <c r="CA15" s="88">
        <f t="shared" si="15"/>
        <v>172000</v>
      </c>
      <c r="CB15" s="88">
        <f t="shared" ref="CB15:CB22" si="83">CA15+CB14</f>
        <v>516000</v>
      </c>
      <c r="CD15" s="83" t="s">
        <v>327</v>
      </c>
      <c r="CE15" s="187">
        <v>10</v>
      </c>
      <c r="CG15" s="110" t="s">
        <v>39</v>
      </c>
      <c r="CH15" s="88">
        <f t="shared" si="16"/>
        <v>716000</v>
      </c>
      <c r="CI15" s="88">
        <f t="shared" si="17"/>
        <v>88000</v>
      </c>
      <c r="CJ15" s="88">
        <f t="shared" ref="CJ15:CJ22" si="84">CI15+CJ14</f>
        <v>264000</v>
      </c>
      <c r="CL15" s="83" t="s">
        <v>327</v>
      </c>
      <c r="CM15" s="187">
        <v>10</v>
      </c>
      <c r="CO15" s="110" t="s">
        <v>39</v>
      </c>
      <c r="CP15" s="88">
        <f t="shared" si="18"/>
        <v>3450000</v>
      </c>
      <c r="CQ15" s="88">
        <f t="shared" si="19"/>
        <v>350000</v>
      </c>
      <c r="CR15" s="88">
        <f t="shared" ref="CR15:CR22" si="85">CQ15+CR14</f>
        <v>1050000</v>
      </c>
      <c r="CT15" s="83" t="s">
        <v>327</v>
      </c>
      <c r="CU15" s="187">
        <v>10</v>
      </c>
      <c r="CW15" s="110" t="s">
        <v>39</v>
      </c>
      <c r="CX15" s="88">
        <f t="shared" si="20"/>
        <v>372000</v>
      </c>
      <c r="CY15" s="88">
        <f t="shared" si="21"/>
        <v>46000</v>
      </c>
      <c r="CZ15" s="88">
        <f t="shared" ref="CZ15:CZ22" si="86">CY15+CZ14</f>
        <v>138000</v>
      </c>
      <c r="DB15" s="83" t="s">
        <v>327</v>
      </c>
      <c r="DC15" s="187">
        <v>10</v>
      </c>
      <c r="DE15" s="110" t="s">
        <v>39</v>
      </c>
      <c r="DF15" s="88">
        <f t="shared" si="22"/>
        <v>732000</v>
      </c>
      <c r="DG15" s="88">
        <f t="shared" si="23"/>
        <v>96000</v>
      </c>
      <c r="DH15" s="88">
        <f t="shared" ref="DH15:DH22" si="87">DG15+DH14</f>
        <v>288000</v>
      </c>
      <c r="DJ15" s="83" t="s">
        <v>327</v>
      </c>
      <c r="DK15" s="187">
        <v>10</v>
      </c>
      <c r="DM15" s="110" t="s">
        <v>39</v>
      </c>
      <c r="DN15" s="88">
        <f t="shared" si="24"/>
        <v>1458000</v>
      </c>
      <c r="DO15" s="88">
        <f t="shared" si="25"/>
        <v>194000</v>
      </c>
      <c r="DP15" s="88">
        <f t="shared" ref="DP15:DP22" si="88">DO15+DP14</f>
        <v>582000</v>
      </c>
      <c r="DR15" s="83" t="s">
        <v>327</v>
      </c>
      <c r="DS15" s="187">
        <v>10</v>
      </c>
      <c r="DU15" s="110" t="s">
        <v>39</v>
      </c>
      <c r="DV15" s="88">
        <f t="shared" si="26"/>
        <v>2250000</v>
      </c>
      <c r="DW15" s="88">
        <f t="shared" si="27"/>
        <v>300000</v>
      </c>
      <c r="DX15" s="88">
        <f t="shared" ref="DX15:DX22" si="89">DW15+DX14</f>
        <v>900000</v>
      </c>
      <c r="DZ15" s="83" t="s">
        <v>327</v>
      </c>
      <c r="EA15" s="187">
        <v>10</v>
      </c>
      <c r="EC15" s="110" t="s">
        <v>39</v>
      </c>
      <c r="ED15" s="88">
        <f t="shared" si="28"/>
        <v>2916000</v>
      </c>
      <c r="EE15" s="88">
        <f t="shared" si="29"/>
        <v>388000</v>
      </c>
      <c r="EF15" s="88">
        <f t="shared" ref="EF15:EF22" si="90">EE15+EF14</f>
        <v>1164000</v>
      </c>
      <c r="EH15" s="83" t="s">
        <v>327</v>
      </c>
      <c r="EI15" s="187">
        <v>10</v>
      </c>
      <c r="EK15" s="203" t="s">
        <v>39</v>
      </c>
      <c r="EL15" s="104">
        <f t="shared" si="30"/>
        <v>2456000</v>
      </c>
      <c r="EM15" s="104">
        <f t="shared" si="31"/>
        <v>308000</v>
      </c>
      <c r="EN15" s="104">
        <f t="shared" ref="EN15:EN22" si="91">EM15+EN14</f>
        <v>924000</v>
      </c>
      <c r="EP15" s="83" t="s">
        <v>327</v>
      </c>
      <c r="EQ15" s="187">
        <v>10</v>
      </c>
      <c r="ES15" s="110" t="s">
        <v>39</v>
      </c>
      <c r="ET15" s="88">
        <f t="shared" si="32"/>
        <v>1119000</v>
      </c>
      <c r="EU15" s="88">
        <f t="shared" si="33"/>
        <v>147000</v>
      </c>
      <c r="EV15" s="88">
        <f t="shared" ref="EV15:EV22" si="92">EU15+EV14</f>
        <v>441000</v>
      </c>
      <c r="EX15" s="83" t="s">
        <v>327</v>
      </c>
      <c r="EY15" s="187">
        <v>10</v>
      </c>
      <c r="FA15" s="110" t="s">
        <v>39</v>
      </c>
      <c r="FB15" s="88">
        <f t="shared" si="34"/>
        <v>240000</v>
      </c>
      <c r="FC15" s="88">
        <f t="shared" si="35"/>
        <v>20000</v>
      </c>
      <c r="FD15" s="88">
        <f t="shared" ref="FD15:FD22" si="93">FC15+FD14</f>
        <v>60000</v>
      </c>
      <c r="FF15" s="83" t="s">
        <v>327</v>
      </c>
      <c r="FG15" s="187">
        <v>10</v>
      </c>
      <c r="FI15" s="110" t="s">
        <v>39</v>
      </c>
      <c r="FJ15" s="88">
        <f t="shared" si="36"/>
        <v>146400</v>
      </c>
      <c r="FK15" s="88">
        <f t="shared" si="37"/>
        <v>15200</v>
      </c>
      <c r="FL15" s="88">
        <f t="shared" ref="FL15:FL22" si="94">FK15+FL14</f>
        <v>45600</v>
      </c>
      <c r="FN15" s="83" t="s">
        <v>327</v>
      </c>
      <c r="FO15" s="187">
        <v>10</v>
      </c>
      <c r="FQ15" s="110" t="s">
        <v>39</v>
      </c>
      <c r="FR15" s="88">
        <f t="shared" si="38"/>
        <v>2924713.6000000006</v>
      </c>
      <c r="FS15" s="88">
        <f t="shared" si="39"/>
        <v>289244.79999999999</v>
      </c>
      <c r="FT15" s="88">
        <f t="shared" ref="FT15:FT22" si="95">FS15+FT14</f>
        <v>867734.39999999991</v>
      </c>
      <c r="FV15" s="83" t="s">
        <v>327</v>
      </c>
      <c r="FW15" s="187">
        <v>10</v>
      </c>
      <c r="FY15" s="110" t="s">
        <v>39</v>
      </c>
      <c r="FZ15" s="88">
        <f t="shared" si="40"/>
        <v>715000</v>
      </c>
      <c r="GA15" s="88">
        <f t="shared" si="41"/>
        <v>95000</v>
      </c>
      <c r="GB15" s="88">
        <f t="shared" ref="GB15:GB22" si="96">GA15+GB14</f>
        <v>285000</v>
      </c>
      <c r="GD15" s="83" t="s">
        <v>327</v>
      </c>
      <c r="GE15" s="187">
        <v>10</v>
      </c>
      <c r="GG15" s="110" t="s">
        <v>39</v>
      </c>
      <c r="GH15" s="88">
        <f t="shared" si="42"/>
        <v>2130000</v>
      </c>
      <c r="GI15" s="88">
        <f t="shared" si="43"/>
        <v>290000</v>
      </c>
      <c r="GJ15" s="88">
        <f t="shared" ref="GJ15:GJ22" si="97">GI15+GJ14</f>
        <v>870000</v>
      </c>
      <c r="GL15" s="83" t="s">
        <v>327</v>
      </c>
      <c r="GM15" s="187">
        <v>10</v>
      </c>
      <c r="GO15" s="110" t="s">
        <v>39</v>
      </c>
      <c r="GP15" s="88">
        <f t="shared" si="44"/>
        <v>2328800</v>
      </c>
      <c r="GQ15" s="88">
        <f t="shared" si="45"/>
        <v>218400</v>
      </c>
      <c r="GR15" s="88">
        <f t="shared" ref="GR15:GR22" si="98">GQ15+GR14</f>
        <v>655200</v>
      </c>
      <c r="GT15" s="83" t="s">
        <v>327</v>
      </c>
      <c r="GU15" s="187">
        <v>10</v>
      </c>
      <c r="GW15" s="110" t="s">
        <v>39</v>
      </c>
      <c r="GX15" s="88">
        <f t="shared" si="46"/>
        <v>1100124</v>
      </c>
      <c r="GY15" s="88">
        <f t="shared" si="47"/>
        <v>145732</v>
      </c>
      <c r="GZ15" s="88">
        <f t="shared" ref="GZ15:GZ22" si="99">GY15+GZ14</f>
        <v>437196</v>
      </c>
      <c r="HB15" s="83" t="s">
        <v>327</v>
      </c>
      <c r="HC15" s="187">
        <v>10</v>
      </c>
      <c r="HE15" s="110" t="s">
        <v>39</v>
      </c>
      <c r="HF15" s="88">
        <f t="shared" si="48"/>
        <v>1010000</v>
      </c>
      <c r="HG15" s="88">
        <f t="shared" si="49"/>
        <v>130000</v>
      </c>
      <c r="HH15" s="88">
        <f t="shared" ref="HH15:HH22" si="100">HG15+HH14</f>
        <v>390000</v>
      </c>
      <c r="HJ15" s="83" t="s">
        <v>327</v>
      </c>
      <c r="HK15" s="187">
        <v>10</v>
      </c>
      <c r="HM15" s="110" t="s">
        <v>39</v>
      </c>
      <c r="HN15" s="88">
        <f t="shared" si="50"/>
        <v>1010000</v>
      </c>
      <c r="HO15" s="88">
        <f t="shared" si="51"/>
        <v>130000</v>
      </c>
      <c r="HP15" s="88">
        <f t="shared" ref="HP15:HP22" si="101">HO15+HP14</f>
        <v>390000</v>
      </c>
      <c r="HR15" s="83" t="s">
        <v>327</v>
      </c>
      <c r="HS15" s="187">
        <v>10</v>
      </c>
      <c r="HU15" s="110" t="s">
        <v>39</v>
      </c>
      <c r="HV15" s="88">
        <f t="shared" si="52"/>
        <v>1010000</v>
      </c>
      <c r="HW15" s="88">
        <f t="shared" si="53"/>
        <v>130000</v>
      </c>
      <c r="HX15" s="88">
        <f t="shared" ref="HX15:HX22" si="102">HW15+HX14</f>
        <v>390000</v>
      </c>
      <c r="HZ15" s="83" t="s">
        <v>327</v>
      </c>
      <c r="IA15" s="187">
        <v>10</v>
      </c>
      <c r="IC15" s="110" t="s">
        <v>39</v>
      </c>
      <c r="ID15" s="88">
        <f t="shared" si="54"/>
        <v>52000</v>
      </c>
      <c r="IE15" s="88">
        <f t="shared" si="55"/>
        <v>6000</v>
      </c>
      <c r="IF15" s="88">
        <f t="shared" ref="IF15:IF22" si="103">IE15+IF14</f>
        <v>18000</v>
      </c>
      <c r="IH15" s="83" t="s">
        <v>327</v>
      </c>
      <c r="II15" s="187">
        <v>10</v>
      </c>
      <c r="IK15" s="110" t="s">
        <v>39</v>
      </c>
      <c r="IL15" s="88">
        <f t="shared" si="56"/>
        <v>33000</v>
      </c>
      <c r="IM15" s="88">
        <f t="shared" si="57"/>
        <v>4000</v>
      </c>
      <c r="IN15" s="88">
        <f t="shared" ref="IN15:IN22" si="104">IM15+IN14</f>
        <v>12000</v>
      </c>
      <c r="IP15" s="83" t="s">
        <v>327</v>
      </c>
      <c r="IQ15" s="187">
        <v>10</v>
      </c>
      <c r="IS15" s="110" t="s">
        <v>39</v>
      </c>
      <c r="IT15" s="88">
        <f t="shared" si="58"/>
        <v>1696000</v>
      </c>
      <c r="IU15" s="88">
        <f t="shared" si="59"/>
        <v>228000</v>
      </c>
      <c r="IV15" s="88">
        <f t="shared" ref="IV15:IV22" si="105">IU15+IV14</f>
        <v>684000</v>
      </c>
      <c r="IX15" s="83" t="s">
        <v>327</v>
      </c>
      <c r="IY15" s="187">
        <v>10</v>
      </c>
      <c r="JA15" s="110" t="s">
        <v>39</v>
      </c>
      <c r="JB15" s="88">
        <f t="shared" si="60"/>
        <v>215500</v>
      </c>
      <c r="JC15" s="88">
        <f t="shared" si="61"/>
        <v>26500</v>
      </c>
      <c r="JD15" s="88">
        <f t="shared" ref="JD15:JD22" si="106">JC15+JD14</f>
        <v>79500</v>
      </c>
      <c r="JF15" s="83" t="s">
        <v>327</v>
      </c>
      <c r="JG15" s="187">
        <v>10</v>
      </c>
      <c r="JI15" s="110" t="s">
        <v>39</v>
      </c>
      <c r="JJ15" s="88">
        <f t="shared" si="62"/>
        <v>14300000</v>
      </c>
      <c r="JK15" s="88">
        <f t="shared" si="63"/>
        <v>1900000</v>
      </c>
      <c r="JL15" s="88">
        <f t="shared" ref="JL15:JL22" si="107">JK15+JL14</f>
        <v>5700000</v>
      </c>
      <c r="JN15" s="83" t="s">
        <v>327</v>
      </c>
      <c r="JO15" s="187">
        <v>6</v>
      </c>
      <c r="JQ15" s="110" t="s">
        <v>39</v>
      </c>
      <c r="JR15" s="88">
        <f t="shared" si="64"/>
        <v>18450</v>
      </c>
      <c r="JS15" s="88">
        <f t="shared" si="65"/>
        <v>5150</v>
      </c>
      <c r="JT15" s="88">
        <f t="shared" ref="JT15:JT18" si="108">JS15+JT14</f>
        <v>15450</v>
      </c>
      <c r="JV15" s="83" t="s">
        <v>327</v>
      </c>
      <c r="JW15" s="187">
        <v>6</v>
      </c>
      <c r="JY15" s="110" t="s">
        <v>39</v>
      </c>
      <c r="JZ15" s="88">
        <f t="shared" si="66"/>
        <v>119950</v>
      </c>
      <c r="KA15" s="88">
        <f t="shared" si="67"/>
        <v>26650</v>
      </c>
      <c r="KB15" s="88">
        <f t="shared" ref="KB15:KB18" si="109">KA15+KB14</f>
        <v>79950</v>
      </c>
      <c r="KD15" s="83" t="s">
        <v>327</v>
      </c>
      <c r="KE15" s="187">
        <v>5</v>
      </c>
      <c r="KG15" s="110" t="s">
        <v>39</v>
      </c>
      <c r="KH15" s="88">
        <f t="shared" si="68"/>
        <v>1119600</v>
      </c>
      <c r="KI15" s="88">
        <f t="shared" si="69"/>
        <v>359800</v>
      </c>
      <c r="KJ15" s="88">
        <f t="shared" ref="KJ15:KJ17" si="110">KI15+KJ14</f>
        <v>1079400</v>
      </c>
      <c r="KL15" s="83" t="s">
        <v>327</v>
      </c>
      <c r="KM15" s="187">
        <v>5</v>
      </c>
      <c r="KO15" s="110" t="s">
        <v>39</v>
      </c>
      <c r="KP15" s="88">
        <f t="shared" si="70"/>
        <v>65960</v>
      </c>
      <c r="KQ15" s="88">
        <f t="shared" si="71"/>
        <v>17980</v>
      </c>
      <c r="KR15" s="88">
        <f t="shared" ref="KR15:KR17" si="111">KQ15+KR14</f>
        <v>53940</v>
      </c>
      <c r="KT15" s="15"/>
      <c r="KU15" s="189"/>
      <c r="KW15" s="30"/>
      <c r="KX15" s="31"/>
      <c r="KY15" s="31"/>
      <c r="KZ15" s="31"/>
    </row>
    <row r="16" spans="2:312" ht="15.75" x14ac:dyDescent="0.25">
      <c r="B16" s="83" t="s">
        <v>327</v>
      </c>
      <c r="C16" s="187">
        <v>10</v>
      </c>
      <c r="D16" s="20"/>
      <c r="E16" s="110" t="s">
        <v>39</v>
      </c>
      <c r="F16" s="88">
        <f t="shared" ref="F16:F22" si="112">F15-G16</f>
        <v>7040000</v>
      </c>
      <c r="G16" s="88">
        <f t="shared" si="72"/>
        <v>720000</v>
      </c>
      <c r="H16" s="88">
        <f t="shared" ref="H16:H21" si="113">H15+G16</f>
        <v>2160000</v>
      </c>
      <c r="I16" s="15"/>
      <c r="J16" s="83" t="s">
        <v>285</v>
      </c>
      <c r="K16" s="88">
        <f>(K13-K14)/K15</f>
        <v>170000</v>
      </c>
      <c r="M16" s="110" t="s">
        <v>40</v>
      </c>
      <c r="N16" s="88">
        <f t="shared" si="73"/>
        <v>2520000</v>
      </c>
      <c r="O16" s="88">
        <f t="shared" si="0"/>
        <v>170000</v>
      </c>
      <c r="P16" s="88">
        <f t="shared" si="74"/>
        <v>680000</v>
      </c>
      <c r="R16" s="83" t="s">
        <v>285</v>
      </c>
      <c r="S16" s="88">
        <f>(S13-S14)/S15</f>
        <v>235000</v>
      </c>
      <c r="U16" s="110" t="s">
        <v>40</v>
      </c>
      <c r="V16" s="88">
        <f t="shared" si="75"/>
        <v>2010000</v>
      </c>
      <c r="W16" s="88">
        <f t="shared" si="1"/>
        <v>235000</v>
      </c>
      <c r="X16" s="88">
        <f t="shared" si="76"/>
        <v>940000</v>
      </c>
      <c r="Z16" s="83" t="s">
        <v>285</v>
      </c>
      <c r="AA16" s="88">
        <f>(AA13-AA14)/AA15</f>
        <v>205000</v>
      </c>
      <c r="AC16" s="110" t="s">
        <v>40</v>
      </c>
      <c r="AD16" s="88">
        <f t="shared" si="2"/>
        <v>1930000</v>
      </c>
      <c r="AE16" s="88">
        <f t="shared" si="3"/>
        <v>205000</v>
      </c>
      <c r="AF16" s="88">
        <f t="shared" si="77"/>
        <v>820000</v>
      </c>
      <c r="AH16" s="83" t="s">
        <v>285</v>
      </c>
      <c r="AI16" s="88">
        <f>(AI13-AI14)/AI15</f>
        <v>205000</v>
      </c>
      <c r="AK16" s="110" t="s">
        <v>40</v>
      </c>
      <c r="AL16" s="88">
        <f t="shared" si="4"/>
        <v>1930000</v>
      </c>
      <c r="AM16" s="88">
        <f t="shared" si="5"/>
        <v>205000</v>
      </c>
      <c r="AN16" s="88">
        <f t="shared" si="78"/>
        <v>820000</v>
      </c>
      <c r="AP16" s="83" t="s">
        <v>285</v>
      </c>
      <c r="AQ16" s="88">
        <f>(AQ13-AQ14)/AQ15</f>
        <v>280000</v>
      </c>
      <c r="AS16" s="110" t="s">
        <v>40</v>
      </c>
      <c r="AT16" s="88">
        <f t="shared" si="6"/>
        <v>1880000</v>
      </c>
      <c r="AU16" s="88">
        <f t="shared" si="7"/>
        <v>280000</v>
      </c>
      <c r="AV16" s="88">
        <f t="shared" si="79"/>
        <v>1120000</v>
      </c>
      <c r="AX16" s="83" t="s">
        <v>285</v>
      </c>
      <c r="AY16" s="88">
        <f>(AY13-AY14)/AY15</f>
        <v>310000</v>
      </c>
      <c r="BA16" s="110" t="s">
        <v>40</v>
      </c>
      <c r="BB16" s="88">
        <f t="shared" si="8"/>
        <v>2860000</v>
      </c>
      <c r="BC16" s="88">
        <f t="shared" si="9"/>
        <v>310000</v>
      </c>
      <c r="BD16" s="88">
        <f t="shared" si="80"/>
        <v>1240000</v>
      </c>
      <c r="BF16" s="83" t="s">
        <v>285</v>
      </c>
      <c r="BG16" s="88">
        <f>(BG13-BG14)/BG15</f>
        <v>22000</v>
      </c>
      <c r="BI16" s="110" t="s">
        <v>40</v>
      </c>
      <c r="BJ16" s="88">
        <f t="shared" si="10"/>
        <v>212000</v>
      </c>
      <c r="BK16" s="88">
        <f t="shared" si="11"/>
        <v>22000</v>
      </c>
      <c r="BL16" s="88">
        <f t="shared" si="81"/>
        <v>88000</v>
      </c>
      <c r="BN16" s="16" t="s">
        <v>285</v>
      </c>
      <c r="BO16" s="21">
        <f>(BO13-BO14)/BO15</f>
        <v>133500</v>
      </c>
      <c r="BQ16" s="22" t="s">
        <v>40</v>
      </c>
      <c r="BR16" s="21">
        <f t="shared" si="12"/>
        <v>2801000</v>
      </c>
      <c r="BS16" s="21">
        <f t="shared" si="13"/>
        <v>133500</v>
      </c>
      <c r="BT16" s="21">
        <f t="shared" si="82"/>
        <v>534000</v>
      </c>
      <c r="BV16" s="83" t="s">
        <v>285</v>
      </c>
      <c r="BW16" s="88">
        <f>(BW13-BW14)/BW15</f>
        <v>172000</v>
      </c>
      <c r="BY16" s="110" t="s">
        <v>40</v>
      </c>
      <c r="BZ16" s="88">
        <f t="shared" si="14"/>
        <v>2532000</v>
      </c>
      <c r="CA16" s="88">
        <f t="shared" si="15"/>
        <v>172000</v>
      </c>
      <c r="CB16" s="88">
        <f t="shared" si="83"/>
        <v>688000</v>
      </c>
      <c r="CD16" s="83" t="s">
        <v>285</v>
      </c>
      <c r="CE16" s="88">
        <f>(CE13-CE14)/CE15</f>
        <v>88000</v>
      </c>
      <c r="CG16" s="110" t="s">
        <v>40</v>
      </c>
      <c r="CH16" s="88">
        <f t="shared" si="16"/>
        <v>628000</v>
      </c>
      <c r="CI16" s="88">
        <f t="shared" si="17"/>
        <v>88000</v>
      </c>
      <c r="CJ16" s="88">
        <f t="shared" si="84"/>
        <v>352000</v>
      </c>
      <c r="CL16" s="83" t="s">
        <v>285</v>
      </c>
      <c r="CM16" s="88">
        <f>(CM13-CM14)/CM15</f>
        <v>350000</v>
      </c>
      <c r="CO16" s="110" t="s">
        <v>40</v>
      </c>
      <c r="CP16" s="88">
        <f t="shared" si="18"/>
        <v>3100000</v>
      </c>
      <c r="CQ16" s="88">
        <f t="shared" si="19"/>
        <v>350000</v>
      </c>
      <c r="CR16" s="88">
        <f t="shared" si="85"/>
        <v>1400000</v>
      </c>
      <c r="CT16" s="83" t="s">
        <v>285</v>
      </c>
      <c r="CU16" s="88">
        <f>(CU13-CU14)/CU15</f>
        <v>46000</v>
      </c>
      <c r="CW16" s="110" t="s">
        <v>40</v>
      </c>
      <c r="CX16" s="88">
        <f t="shared" si="20"/>
        <v>326000</v>
      </c>
      <c r="CY16" s="88">
        <f t="shared" si="21"/>
        <v>46000</v>
      </c>
      <c r="CZ16" s="88">
        <f t="shared" si="86"/>
        <v>184000</v>
      </c>
      <c r="DB16" s="83" t="s">
        <v>285</v>
      </c>
      <c r="DC16" s="88">
        <f>(DC13-DC14)/DC15</f>
        <v>96000</v>
      </c>
      <c r="DE16" s="110" t="s">
        <v>40</v>
      </c>
      <c r="DF16" s="88">
        <f t="shared" si="22"/>
        <v>636000</v>
      </c>
      <c r="DG16" s="88">
        <f t="shared" si="23"/>
        <v>96000</v>
      </c>
      <c r="DH16" s="88">
        <f t="shared" si="87"/>
        <v>384000</v>
      </c>
      <c r="DJ16" s="83" t="s">
        <v>285</v>
      </c>
      <c r="DK16" s="88">
        <f>(DK13-DK14)/DK15</f>
        <v>194000</v>
      </c>
      <c r="DM16" s="110" t="s">
        <v>40</v>
      </c>
      <c r="DN16" s="88">
        <f t="shared" si="24"/>
        <v>1264000</v>
      </c>
      <c r="DO16" s="88">
        <f t="shared" si="25"/>
        <v>194000</v>
      </c>
      <c r="DP16" s="88">
        <f t="shared" si="88"/>
        <v>776000</v>
      </c>
      <c r="DR16" s="83" t="s">
        <v>285</v>
      </c>
      <c r="DS16" s="88">
        <f>(DS13-DS14)/DS15</f>
        <v>300000</v>
      </c>
      <c r="DU16" s="110" t="s">
        <v>40</v>
      </c>
      <c r="DV16" s="88">
        <f t="shared" si="26"/>
        <v>1950000</v>
      </c>
      <c r="DW16" s="88">
        <f t="shared" si="27"/>
        <v>300000</v>
      </c>
      <c r="DX16" s="88">
        <f t="shared" si="89"/>
        <v>1200000</v>
      </c>
      <c r="DZ16" s="83" t="s">
        <v>285</v>
      </c>
      <c r="EA16" s="88">
        <f>(EA13-EA14)/EA15</f>
        <v>388000</v>
      </c>
      <c r="EC16" s="110" t="s">
        <v>40</v>
      </c>
      <c r="ED16" s="88">
        <f t="shared" si="28"/>
        <v>2528000</v>
      </c>
      <c r="EE16" s="88">
        <f t="shared" si="29"/>
        <v>388000</v>
      </c>
      <c r="EF16" s="88">
        <f t="shared" si="90"/>
        <v>1552000</v>
      </c>
      <c r="EH16" s="83" t="s">
        <v>285</v>
      </c>
      <c r="EI16" s="88">
        <f>(EI13-EI14)/EI15</f>
        <v>308000</v>
      </c>
      <c r="EK16" s="203" t="s">
        <v>40</v>
      </c>
      <c r="EL16" s="104">
        <f t="shared" si="30"/>
        <v>2148000</v>
      </c>
      <c r="EM16" s="104">
        <f t="shared" si="31"/>
        <v>308000</v>
      </c>
      <c r="EN16" s="104">
        <f t="shared" si="91"/>
        <v>1232000</v>
      </c>
      <c r="EP16" s="83" t="s">
        <v>285</v>
      </c>
      <c r="EQ16" s="88">
        <f>(EQ13-EQ14)/EQ15</f>
        <v>147000</v>
      </c>
      <c r="ES16" s="110" t="s">
        <v>40</v>
      </c>
      <c r="ET16" s="88">
        <f t="shared" si="32"/>
        <v>972000</v>
      </c>
      <c r="EU16" s="88">
        <f t="shared" si="33"/>
        <v>147000</v>
      </c>
      <c r="EV16" s="88">
        <f t="shared" si="92"/>
        <v>588000</v>
      </c>
      <c r="EX16" s="83" t="s">
        <v>285</v>
      </c>
      <c r="EY16" s="88">
        <f>(EY13-EY14)/EY15</f>
        <v>20000</v>
      </c>
      <c r="FA16" s="110" t="s">
        <v>40</v>
      </c>
      <c r="FB16" s="88">
        <f t="shared" si="34"/>
        <v>220000</v>
      </c>
      <c r="FC16" s="88">
        <f t="shared" si="35"/>
        <v>20000</v>
      </c>
      <c r="FD16" s="88">
        <f t="shared" si="93"/>
        <v>80000</v>
      </c>
      <c r="FF16" s="83" t="s">
        <v>285</v>
      </c>
      <c r="FG16" s="88">
        <f>(FG13-FG14)/FG15</f>
        <v>15200</v>
      </c>
      <c r="FI16" s="110" t="s">
        <v>40</v>
      </c>
      <c r="FJ16" s="88">
        <f t="shared" si="36"/>
        <v>131200</v>
      </c>
      <c r="FK16" s="88">
        <f t="shared" si="37"/>
        <v>15200</v>
      </c>
      <c r="FL16" s="88">
        <f t="shared" si="94"/>
        <v>60800</v>
      </c>
      <c r="FN16" s="83" t="s">
        <v>285</v>
      </c>
      <c r="FO16" s="88">
        <f>(FO13-FO14)/FO15</f>
        <v>289244.79999999999</v>
      </c>
      <c r="FQ16" s="110" t="s">
        <v>40</v>
      </c>
      <c r="FR16" s="88">
        <f t="shared" si="38"/>
        <v>2635468.8000000007</v>
      </c>
      <c r="FS16" s="88">
        <f t="shared" si="39"/>
        <v>289244.79999999999</v>
      </c>
      <c r="FT16" s="88">
        <f t="shared" si="95"/>
        <v>1156979.2</v>
      </c>
      <c r="FV16" s="83" t="s">
        <v>285</v>
      </c>
      <c r="FW16" s="88">
        <f>(FW13-FW14)/FW15</f>
        <v>95000</v>
      </c>
      <c r="FY16" s="110" t="s">
        <v>40</v>
      </c>
      <c r="FZ16" s="88">
        <f t="shared" si="40"/>
        <v>620000</v>
      </c>
      <c r="GA16" s="88">
        <f t="shared" si="41"/>
        <v>95000</v>
      </c>
      <c r="GB16" s="88">
        <f t="shared" si="96"/>
        <v>380000</v>
      </c>
      <c r="GD16" s="83" t="s">
        <v>285</v>
      </c>
      <c r="GE16" s="88">
        <f>(GE13-GE14)/GE15</f>
        <v>290000</v>
      </c>
      <c r="GG16" s="110" t="s">
        <v>40</v>
      </c>
      <c r="GH16" s="88">
        <f t="shared" si="42"/>
        <v>1840000</v>
      </c>
      <c r="GI16" s="88">
        <f t="shared" si="43"/>
        <v>290000</v>
      </c>
      <c r="GJ16" s="88">
        <f t="shared" si="97"/>
        <v>1160000</v>
      </c>
      <c r="GL16" s="83" t="s">
        <v>285</v>
      </c>
      <c r="GM16" s="88">
        <f>(GM13-GM14)/GM15</f>
        <v>218400</v>
      </c>
      <c r="GO16" s="110" t="s">
        <v>40</v>
      </c>
      <c r="GP16" s="88">
        <f t="shared" si="44"/>
        <v>2110400</v>
      </c>
      <c r="GQ16" s="88">
        <f t="shared" si="45"/>
        <v>218400</v>
      </c>
      <c r="GR16" s="88">
        <f t="shared" si="98"/>
        <v>873600</v>
      </c>
      <c r="GT16" s="83" t="s">
        <v>285</v>
      </c>
      <c r="GU16" s="88">
        <f>(GU13-GU14)/GU15</f>
        <v>145732</v>
      </c>
      <c r="GW16" s="110" t="s">
        <v>40</v>
      </c>
      <c r="GX16" s="88">
        <f t="shared" si="46"/>
        <v>954392</v>
      </c>
      <c r="GY16" s="88">
        <f t="shared" si="47"/>
        <v>145732</v>
      </c>
      <c r="GZ16" s="88">
        <f t="shared" si="99"/>
        <v>582928</v>
      </c>
      <c r="HB16" s="83" t="s">
        <v>285</v>
      </c>
      <c r="HC16" s="88">
        <f>(HC13-HC14)/HC15</f>
        <v>130000</v>
      </c>
      <c r="HE16" s="110" t="s">
        <v>40</v>
      </c>
      <c r="HF16" s="88">
        <f t="shared" si="48"/>
        <v>880000</v>
      </c>
      <c r="HG16" s="88">
        <f t="shared" si="49"/>
        <v>130000</v>
      </c>
      <c r="HH16" s="88">
        <f t="shared" si="100"/>
        <v>520000</v>
      </c>
      <c r="HJ16" s="83" t="s">
        <v>285</v>
      </c>
      <c r="HK16" s="88">
        <f>(HK13-HK14)/HK15</f>
        <v>130000</v>
      </c>
      <c r="HM16" s="110" t="s">
        <v>40</v>
      </c>
      <c r="HN16" s="88">
        <f t="shared" si="50"/>
        <v>880000</v>
      </c>
      <c r="HO16" s="88">
        <f t="shared" si="51"/>
        <v>130000</v>
      </c>
      <c r="HP16" s="88">
        <f t="shared" si="101"/>
        <v>520000</v>
      </c>
      <c r="HR16" s="83" t="s">
        <v>285</v>
      </c>
      <c r="HS16" s="88">
        <f>(HS13-HS14)/HS15</f>
        <v>130000</v>
      </c>
      <c r="HU16" s="110" t="s">
        <v>40</v>
      </c>
      <c r="HV16" s="88">
        <f t="shared" si="52"/>
        <v>880000</v>
      </c>
      <c r="HW16" s="88">
        <f t="shared" si="53"/>
        <v>130000</v>
      </c>
      <c r="HX16" s="88">
        <f t="shared" si="102"/>
        <v>520000</v>
      </c>
      <c r="HZ16" s="83" t="s">
        <v>285</v>
      </c>
      <c r="IA16" s="88">
        <f>(IA13-IA14)/IA15</f>
        <v>6000</v>
      </c>
      <c r="IC16" s="110" t="s">
        <v>40</v>
      </c>
      <c r="ID16" s="88">
        <f t="shared" si="54"/>
        <v>46000</v>
      </c>
      <c r="IE16" s="88">
        <f t="shared" si="55"/>
        <v>6000</v>
      </c>
      <c r="IF16" s="88">
        <f t="shared" si="103"/>
        <v>24000</v>
      </c>
      <c r="IH16" s="83" t="s">
        <v>285</v>
      </c>
      <c r="II16" s="88">
        <f>(II13-II14)/II15</f>
        <v>4000</v>
      </c>
      <c r="IK16" s="110" t="s">
        <v>40</v>
      </c>
      <c r="IL16" s="88">
        <f t="shared" si="56"/>
        <v>29000</v>
      </c>
      <c r="IM16" s="88">
        <f t="shared" si="57"/>
        <v>4000</v>
      </c>
      <c r="IN16" s="88">
        <f t="shared" si="104"/>
        <v>16000</v>
      </c>
      <c r="IP16" s="83" t="s">
        <v>285</v>
      </c>
      <c r="IQ16" s="88">
        <f>(IQ13-IQ14)/IQ15</f>
        <v>228000</v>
      </c>
      <c r="IS16" s="110" t="s">
        <v>40</v>
      </c>
      <c r="IT16" s="88">
        <f t="shared" si="58"/>
        <v>1468000</v>
      </c>
      <c r="IU16" s="88">
        <f t="shared" si="59"/>
        <v>228000</v>
      </c>
      <c r="IV16" s="88">
        <f t="shared" si="105"/>
        <v>912000</v>
      </c>
      <c r="IX16" s="83" t="s">
        <v>285</v>
      </c>
      <c r="IY16" s="88">
        <f>(IY13-IY14)/IY15</f>
        <v>26500</v>
      </c>
      <c r="JA16" s="110" t="s">
        <v>40</v>
      </c>
      <c r="JB16" s="88">
        <f t="shared" si="60"/>
        <v>189000</v>
      </c>
      <c r="JC16" s="88">
        <f t="shared" si="61"/>
        <v>26500</v>
      </c>
      <c r="JD16" s="88">
        <f t="shared" si="106"/>
        <v>106000</v>
      </c>
      <c r="JF16" s="83" t="s">
        <v>285</v>
      </c>
      <c r="JG16" s="88">
        <f>(JG13-JG14)/JG15</f>
        <v>1900000</v>
      </c>
      <c r="JI16" s="110" t="s">
        <v>40</v>
      </c>
      <c r="JJ16" s="88">
        <f t="shared" si="62"/>
        <v>12400000</v>
      </c>
      <c r="JK16" s="88">
        <f t="shared" si="63"/>
        <v>1900000</v>
      </c>
      <c r="JL16" s="88">
        <f t="shared" si="107"/>
        <v>7600000</v>
      </c>
      <c r="JN16" s="83" t="s">
        <v>285</v>
      </c>
      <c r="JO16" s="88">
        <f>(JO13-JO14)/JO15</f>
        <v>5150</v>
      </c>
      <c r="JQ16" s="110" t="s">
        <v>40</v>
      </c>
      <c r="JR16" s="88">
        <f t="shared" si="64"/>
        <v>13300</v>
      </c>
      <c r="JS16" s="88">
        <f t="shared" si="65"/>
        <v>5150</v>
      </c>
      <c r="JT16" s="88">
        <f t="shared" si="108"/>
        <v>20600</v>
      </c>
      <c r="JV16" s="83" t="s">
        <v>285</v>
      </c>
      <c r="JW16" s="88">
        <f>(JW13-JW14)/JW15</f>
        <v>26650</v>
      </c>
      <c r="JY16" s="110" t="s">
        <v>40</v>
      </c>
      <c r="JZ16" s="88">
        <f t="shared" si="66"/>
        <v>93300</v>
      </c>
      <c r="KA16" s="88">
        <f t="shared" si="67"/>
        <v>26650</v>
      </c>
      <c r="KB16" s="88">
        <f t="shared" si="109"/>
        <v>106600</v>
      </c>
      <c r="KD16" s="83" t="s">
        <v>285</v>
      </c>
      <c r="KE16" s="88">
        <f>(KE13-KE14)/KE15</f>
        <v>359800</v>
      </c>
      <c r="KG16" s="110" t="s">
        <v>40</v>
      </c>
      <c r="KH16" s="88">
        <f t="shared" si="68"/>
        <v>759800</v>
      </c>
      <c r="KI16" s="88">
        <f t="shared" si="69"/>
        <v>359800</v>
      </c>
      <c r="KJ16" s="88">
        <f t="shared" si="110"/>
        <v>1439200</v>
      </c>
      <c r="KL16" s="83" t="s">
        <v>285</v>
      </c>
      <c r="KM16" s="88">
        <f>(KM13-KM14)/KM15</f>
        <v>17980</v>
      </c>
      <c r="KO16" s="110" t="s">
        <v>40</v>
      </c>
      <c r="KP16" s="88">
        <f t="shared" si="70"/>
        <v>47980</v>
      </c>
      <c r="KQ16" s="88">
        <f t="shared" si="71"/>
        <v>17980</v>
      </c>
      <c r="KR16" s="88">
        <f t="shared" si="111"/>
        <v>71920</v>
      </c>
      <c r="KT16" s="15"/>
      <c r="KU16" s="31"/>
      <c r="KW16" s="30"/>
      <c r="KX16" s="31"/>
      <c r="KY16" s="31"/>
      <c r="KZ16" s="31"/>
    </row>
    <row r="17" spans="2:312" ht="15.75" x14ac:dyDescent="0.25">
      <c r="B17" s="83" t="s">
        <v>285</v>
      </c>
      <c r="C17" s="88">
        <f>(C14-C15)/C16</f>
        <v>720000</v>
      </c>
      <c r="D17" s="20"/>
      <c r="E17" s="110" t="s">
        <v>40</v>
      </c>
      <c r="F17" s="88">
        <f t="shared" si="112"/>
        <v>6320000</v>
      </c>
      <c r="G17" s="88">
        <f t="shared" si="72"/>
        <v>720000</v>
      </c>
      <c r="H17" s="88">
        <f t="shared" si="113"/>
        <v>2880000</v>
      </c>
      <c r="I17" s="15"/>
      <c r="J17" s="15"/>
      <c r="K17" s="15"/>
      <c r="M17" s="110" t="s">
        <v>41</v>
      </c>
      <c r="N17" s="88">
        <f t="shared" si="73"/>
        <v>2350000</v>
      </c>
      <c r="O17" s="88">
        <f t="shared" si="0"/>
        <v>170000</v>
      </c>
      <c r="P17" s="88">
        <f t="shared" si="74"/>
        <v>850000</v>
      </c>
      <c r="U17" s="110" t="s">
        <v>41</v>
      </c>
      <c r="V17" s="88">
        <f t="shared" si="75"/>
        <v>1775000</v>
      </c>
      <c r="W17" s="88">
        <f t="shared" si="1"/>
        <v>235000</v>
      </c>
      <c r="X17" s="88">
        <f t="shared" si="76"/>
        <v>1175000</v>
      </c>
      <c r="AC17" s="110" t="s">
        <v>41</v>
      </c>
      <c r="AD17" s="88">
        <f t="shared" si="2"/>
        <v>1725000</v>
      </c>
      <c r="AE17" s="88">
        <f t="shared" si="3"/>
        <v>205000</v>
      </c>
      <c r="AF17" s="88">
        <f t="shared" si="77"/>
        <v>1025000</v>
      </c>
      <c r="AK17" s="110" t="s">
        <v>41</v>
      </c>
      <c r="AL17" s="88">
        <f t="shared" si="4"/>
        <v>1725000</v>
      </c>
      <c r="AM17" s="88">
        <f t="shared" si="5"/>
        <v>205000</v>
      </c>
      <c r="AN17" s="88">
        <f t="shared" si="78"/>
        <v>1025000</v>
      </c>
      <c r="AS17" s="110" t="s">
        <v>41</v>
      </c>
      <c r="AT17" s="88">
        <f t="shared" si="6"/>
        <v>1600000</v>
      </c>
      <c r="AU17" s="88">
        <f t="shared" si="7"/>
        <v>280000</v>
      </c>
      <c r="AV17" s="88">
        <f t="shared" si="79"/>
        <v>1400000</v>
      </c>
      <c r="BA17" s="110" t="s">
        <v>41</v>
      </c>
      <c r="BB17" s="88">
        <f t="shared" si="8"/>
        <v>2550000</v>
      </c>
      <c r="BC17" s="88">
        <f t="shared" si="9"/>
        <v>310000</v>
      </c>
      <c r="BD17" s="88">
        <f t="shared" si="80"/>
        <v>1550000</v>
      </c>
      <c r="BI17" s="110" t="s">
        <v>41</v>
      </c>
      <c r="BJ17" s="88">
        <f t="shared" si="10"/>
        <v>190000</v>
      </c>
      <c r="BK17" s="88">
        <f t="shared" si="11"/>
        <v>22000</v>
      </c>
      <c r="BL17" s="88">
        <f t="shared" si="81"/>
        <v>110000</v>
      </c>
      <c r="BQ17" s="22" t="s">
        <v>41</v>
      </c>
      <c r="BR17" s="21">
        <f t="shared" si="12"/>
        <v>2667500</v>
      </c>
      <c r="BS17" s="21">
        <f t="shared" si="13"/>
        <v>133500</v>
      </c>
      <c r="BT17" s="21">
        <f t="shared" si="82"/>
        <v>667500</v>
      </c>
      <c r="BY17" s="110" t="s">
        <v>41</v>
      </c>
      <c r="BZ17" s="88">
        <f t="shared" si="14"/>
        <v>2360000</v>
      </c>
      <c r="CA17" s="88">
        <f t="shared" si="15"/>
        <v>172000</v>
      </c>
      <c r="CB17" s="88">
        <f t="shared" si="83"/>
        <v>860000</v>
      </c>
      <c r="CG17" s="110" t="s">
        <v>41</v>
      </c>
      <c r="CH17" s="88">
        <f t="shared" si="16"/>
        <v>540000</v>
      </c>
      <c r="CI17" s="88">
        <f t="shared" si="17"/>
        <v>88000</v>
      </c>
      <c r="CJ17" s="88">
        <f t="shared" si="84"/>
        <v>440000</v>
      </c>
      <c r="CO17" s="110" t="s">
        <v>41</v>
      </c>
      <c r="CP17" s="88">
        <f t="shared" si="18"/>
        <v>2750000</v>
      </c>
      <c r="CQ17" s="88">
        <f t="shared" si="19"/>
        <v>350000</v>
      </c>
      <c r="CR17" s="88">
        <f t="shared" si="85"/>
        <v>1750000</v>
      </c>
      <c r="CW17" s="110" t="s">
        <v>41</v>
      </c>
      <c r="CX17" s="88">
        <f t="shared" si="20"/>
        <v>280000</v>
      </c>
      <c r="CY17" s="88">
        <f t="shared" si="21"/>
        <v>46000</v>
      </c>
      <c r="CZ17" s="88">
        <f t="shared" si="86"/>
        <v>230000</v>
      </c>
      <c r="DE17" s="110" t="s">
        <v>41</v>
      </c>
      <c r="DF17" s="88">
        <f t="shared" si="22"/>
        <v>540000</v>
      </c>
      <c r="DG17" s="88">
        <f t="shared" si="23"/>
        <v>96000</v>
      </c>
      <c r="DH17" s="88">
        <f t="shared" si="87"/>
        <v>480000</v>
      </c>
      <c r="DM17" s="110" t="s">
        <v>41</v>
      </c>
      <c r="DN17" s="88">
        <f t="shared" si="24"/>
        <v>1070000</v>
      </c>
      <c r="DO17" s="88">
        <f t="shared" si="25"/>
        <v>194000</v>
      </c>
      <c r="DP17" s="88">
        <f t="shared" si="88"/>
        <v>970000</v>
      </c>
      <c r="DU17" s="110" t="s">
        <v>41</v>
      </c>
      <c r="DV17" s="88">
        <f t="shared" si="26"/>
        <v>1650000</v>
      </c>
      <c r="DW17" s="88">
        <f t="shared" si="27"/>
        <v>300000</v>
      </c>
      <c r="DX17" s="88">
        <f t="shared" si="89"/>
        <v>1500000</v>
      </c>
      <c r="EC17" s="110" t="s">
        <v>41</v>
      </c>
      <c r="ED17" s="88">
        <f t="shared" si="28"/>
        <v>2140000</v>
      </c>
      <c r="EE17" s="88">
        <f t="shared" si="29"/>
        <v>388000</v>
      </c>
      <c r="EF17" s="88">
        <f t="shared" si="90"/>
        <v>1940000</v>
      </c>
      <c r="EK17" s="203" t="s">
        <v>41</v>
      </c>
      <c r="EL17" s="104">
        <f t="shared" si="30"/>
        <v>1840000</v>
      </c>
      <c r="EM17" s="104">
        <f t="shared" si="31"/>
        <v>308000</v>
      </c>
      <c r="EN17" s="104">
        <f t="shared" si="91"/>
        <v>1540000</v>
      </c>
      <c r="ES17" s="110" t="s">
        <v>41</v>
      </c>
      <c r="ET17" s="88">
        <f t="shared" si="32"/>
        <v>825000</v>
      </c>
      <c r="EU17" s="88">
        <f t="shared" si="33"/>
        <v>147000</v>
      </c>
      <c r="EV17" s="88">
        <f t="shared" si="92"/>
        <v>735000</v>
      </c>
      <c r="FA17" s="110" t="s">
        <v>41</v>
      </c>
      <c r="FB17" s="88">
        <f t="shared" si="34"/>
        <v>200000</v>
      </c>
      <c r="FC17" s="88">
        <f t="shared" si="35"/>
        <v>20000</v>
      </c>
      <c r="FD17" s="88">
        <f t="shared" si="93"/>
        <v>100000</v>
      </c>
      <c r="FI17" s="110" t="s">
        <v>41</v>
      </c>
      <c r="FJ17" s="88">
        <f t="shared" si="36"/>
        <v>116000</v>
      </c>
      <c r="FK17" s="88">
        <f t="shared" si="37"/>
        <v>15200</v>
      </c>
      <c r="FL17" s="88">
        <f t="shared" si="94"/>
        <v>76000</v>
      </c>
      <c r="FQ17" s="110" t="s">
        <v>41</v>
      </c>
      <c r="FR17" s="88">
        <f t="shared" si="38"/>
        <v>2346224.0000000009</v>
      </c>
      <c r="FS17" s="88">
        <f t="shared" si="39"/>
        <v>289244.79999999999</v>
      </c>
      <c r="FT17" s="88">
        <f t="shared" si="95"/>
        <v>1446224</v>
      </c>
      <c r="FY17" s="110" t="s">
        <v>41</v>
      </c>
      <c r="FZ17" s="88">
        <f t="shared" si="40"/>
        <v>525000</v>
      </c>
      <c r="GA17" s="88">
        <f t="shared" si="41"/>
        <v>95000</v>
      </c>
      <c r="GB17" s="88">
        <f t="shared" si="96"/>
        <v>475000</v>
      </c>
      <c r="GG17" s="110" t="s">
        <v>41</v>
      </c>
      <c r="GH17" s="88">
        <f t="shared" si="42"/>
        <v>1550000</v>
      </c>
      <c r="GI17" s="88">
        <f t="shared" si="43"/>
        <v>290000</v>
      </c>
      <c r="GJ17" s="88">
        <f t="shared" si="97"/>
        <v>1450000</v>
      </c>
      <c r="GO17" s="110" t="s">
        <v>41</v>
      </c>
      <c r="GP17" s="88">
        <f t="shared" si="44"/>
        <v>1892000</v>
      </c>
      <c r="GQ17" s="88">
        <f t="shared" si="45"/>
        <v>218400</v>
      </c>
      <c r="GR17" s="88">
        <f t="shared" si="98"/>
        <v>1092000</v>
      </c>
      <c r="GW17" s="110" t="s">
        <v>41</v>
      </c>
      <c r="GX17" s="88">
        <f t="shared" si="46"/>
        <v>808660</v>
      </c>
      <c r="GY17" s="88">
        <f t="shared" si="47"/>
        <v>145732</v>
      </c>
      <c r="GZ17" s="88">
        <f t="shared" si="99"/>
        <v>728660</v>
      </c>
      <c r="HE17" s="110" t="s">
        <v>41</v>
      </c>
      <c r="HF17" s="88">
        <f t="shared" si="48"/>
        <v>750000</v>
      </c>
      <c r="HG17" s="88">
        <f t="shared" si="49"/>
        <v>130000</v>
      </c>
      <c r="HH17" s="88">
        <f t="shared" si="100"/>
        <v>650000</v>
      </c>
      <c r="HM17" s="110" t="s">
        <v>41</v>
      </c>
      <c r="HN17" s="88">
        <f t="shared" si="50"/>
        <v>750000</v>
      </c>
      <c r="HO17" s="88">
        <f t="shared" si="51"/>
        <v>130000</v>
      </c>
      <c r="HP17" s="88">
        <f t="shared" si="101"/>
        <v>650000</v>
      </c>
      <c r="HU17" s="110" t="s">
        <v>41</v>
      </c>
      <c r="HV17" s="88">
        <f t="shared" si="52"/>
        <v>750000</v>
      </c>
      <c r="HW17" s="88">
        <f t="shared" si="53"/>
        <v>130000</v>
      </c>
      <c r="HX17" s="88">
        <f t="shared" si="102"/>
        <v>650000</v>
      </c>
      <c r="IC17" s="110" t="s">
        <v>41</v>
      </c>
      <c r="ID17" s="88">
        <f t="shared" si="54"/>
        <v>40000</v>
      </c>
      <c r="IE17" s="88">
        <f t="shared" si="55"/>
        <v>6000</v>
      </c>
      <c r="IF17" s="88">
        <f t="shared" si="103"/>
        <v>30000</v>
      </c>
      <c r="IK17" s="110" t="s">
        <v>41</v>
      </c>
      <c r="IL17" s="88">
        <f t="shared" si="56"/>
        <v>25000</v>
      </c>
      <c r="IM17" s="88">
        <f t="shared" si="57"/>
        <v>4000</v>
      </c>
      <c r="IN17" s="88">
        <f t="shared" si="104"/>
        <v>20000</v>
      </c>
      <c r="IS17" s="110" t="s">
        <v>41</v>
      </c>
      <c r="IT17" s="88">
        <f t="shared" si="58"/>
        <v>1240000</v>
      </c>
      <c r="IU17" s="88">
        <f t="shared" si="59"/>
        <v>228000</v>
      </c>
      <c r="IV17" s="88">
        <f t="shared" si="105"/>
        <v>1140000</v>
      </c>
      <c r="JA17" s="110" t="s">
        <v>41</v>
      </c>
      <c r="JB17" s="88">
        <f t="shared" si="60"/>
        <v>162500</v>
      </c>
      <c r="JC17" s="88">
        <f t="shared" si="61"/>
        <v>26500</v>
      </c>
      <c r="JD17" s="88">
        <f t="shared" si="106"/>
        <v>132500</v>
      </c>
      <c r="JI17" s="110" t="s">
        <v>41</v>
      </c>
      <c r="JJ17" s="88">
        <f t="shared" si="62"/>
        <v>10500000</v>
      </c>
      <c r="JK17" s="88">
        <f t="shared" si="63"/>
        <v>1900000</v>
      </c>
      <c r="JL17" s="88">
        <f t="shared" si="107"/>
        <v>9500000</v>
      </c>
      <c r="JQ17" s="110" t="s">
        <v>41</v>
      </c>
      <c r="JR17" s="88">
        <f t="shared" si="64"/>
        <v>8150</v>
      </c>
      <c r="JS17" s="88">
        <f t="shared" si="65"/>
        <v>5150</v>
      </c>
      <c r="JT17" s="88">
        <f t="shared" si="108"/>
        <v>25750</v>
      </c>
      <c r="JY17" s="110" t="s">
        <v>41</v>
      </c>
      <c r="JZ17" s="88">
        <f t="shared" si="66"/>
        <v>66650</v>
      </c>
      <c r="KA17" s="88">
        <f t="shared" si="67"/>
        <v>26650</v>
      </c>
      <c r="KB17" s="88">
        <f t="shared" si="109"/>
        <v>133250</v>
      </c>
      <c r="KG17" s="110" t="s">
        <v>41</v>
      </c>
      <c r="KH17" s="88">
        <f t="shared" si="68"/>
        <v>400000</v>
      </c>
      <c r="KI17" s="88">
        <f t="shared" si="69"/>
        <v>359800</v>
      </c>
      <c r="KJ17" s="88">
        <f t="shared" si="110"/>
        <v>1799000</v>
      </c>
      <c r="KO17" s="110" t="s">
        <v>41</v>
      </c>
      <c r="KP17" s="88">
        <f t="shared" si="70"/>
        <v>30000</v>
      </c>
      <c r="KQ17" s="88">
        <f t="shared" si="71"/>
        <v>17980</v>
      </c>
      <c r="KR17" s="88">
        <f t="shared" si="111"/>
        <v>89900</v>
      </c>
      <c r="KW17" s="30"/>
      <c r="KX17" s="31"/>
      <c r="KY17" s="31"/>
      <c r="KZ17" s="31"/>
    </row>
    <row r="18" spans="2:312" ht="15.75" x14ac:dyDescent="0.25">
      <c r="B18" s="15"/>
      <c r="C18" s="20"/>
      <c r="D18" s="20"/>
      <c r="E18" s="110" t="s">
        <v>41</v>
      </c>
      <c r="F18" s="88">
        <f t="shared" si="112"/>
        <v>5600000</v>
      </c>
      <c r="G18" s="88">
        <f t="shared" si="72"/>
        <v>720000</v>
      </c>
      <c r="H18" s="88">
        <f t="shared" si="113"/>
        <v>3600000</v>
      </c>
      <c r="I18" s="15"/>
      <c r="J18" s="15"/>
      <c r="K18" s="15"/>
      <c r="M18" s="110" t="s">
        <v>328</v>
      </c>
      <c r="N18" s="88">
        <f t="shared" si="73"/>
        <v>2180000</v>
      </c>
      <c r="O18" s="88">
        <f t="shared" si="0"/>
        <v>170000</v>
      </c>
      <c r="P18" s="88">
        <f t="shared" si="74"/>
        <v>1020000</v>
      </c>
      <c r="U18" s="110" t="s">
        <v>328</v>
      </c>
      <c r="V18" s="88">
        <f t="shared" si="75"/>
        <v>1540000</v>
      </c>
      <c r="W18" s="88">
        <f t="shared" si="1"/>
        <v>235000</v>
      </c>
      <c r="X18" s="88">
        <f t="shared" si="76"/>
        <v>1410000</v>
      </c>
      <c r="AC18" s="110" t="s">
        <v>328</v>
      </c>
      <c r="AD18" s="88">
        <f t="shared" si="2"/>
        <v>1520000</v>
      </c>
      <c r="AE18" s="88">
        <f t="shared" si="3"/>
        <v>205000</v>
      </c>
      <c r="AF18" s="88">
        <f t="shared" si="77"/>
        <v>1230000</v>
      </c>
      <c r="AK18" s="110" t="s">
        <v>328</v>
      </c>
      <c r="AL18" s="88">
        <f t="shared" si="4"/>
        <v>1520000</v>
      </c>
      <c r="AM18" s="88">
        <f t="shared" si="5"/>
        <v>205000</v>
      </c>
      <c r="AN18" s="88">
        <f t="shared" si="78"/>
        <v>1230000</v>
      </c>
      <c r="AS18" s="110" t="s">
        <v>328</v>
      </c>
      <c r="AT18" s="88">
        <f t="shared" si="6"/>
        <v>1320000</v>
      </c>
      <c r="AU18" s="88">
        <f t="shared" si="7"/>
        <v>280000</v>
      </c>
      <c r="AV18" s="88">
        <f t="shared" si="79"/>
        <v>1680000</v>
      </c>
      <c r="BA18" s="110" t="s">
        <v>328</v>
      </c>
      <c r="BB18" s="88">
        <f t="shared" si="8"/>
        <v>2240000</v>
      </c>
      <c r="BC18" s="88">
        <f t="shared" si="9"/>
        <v>310000</v>
      </c>
      <c r="BD18" s="88">
        <f t="shared" si="80"/>
        <v>1860000</v>
      </c>
      <c r="BI18" s="110" t="s">
        <v>328</v>
      </c>
      <c r="BJ18" s="88">
        <f t="shared" si="10"/>
        <v>168000</v>
      </c>
      <c r="BK18" s="88">
        <f t="shared" si="11"/>
        <v>22000</v>
      </c>
      <c r="BL18" s="88">
        <f t="shared" si="81"/>
        <v>132000</v>
      </c>
      <c r="BQ18" s="22" t="s">
        <v>328</v>
      </c>
      <c r="BR18" s="21">
        <f t="shared" si="12"/>
        <v>2534000</v>
      </c>
      <c r="BS18" s="21">
        <f t="shared" si="13"/>
        <v>133500</v>
      </c>
      <c r="BT18" s="21">
        <f t="shared" si="82"/>
        <v>801000</v>
      </c>
      <c r="BY18" s="110" t="s">
        <v>328</v>
      </c>
      <c r="BZ18" s="88">
        <f t="shared" si="14"/>
        <v>2188000</v>
      </c>
      <c r="CA18" s="88">
        <f t="shared" si="15"/>
        <v>172000</v>
      </c>
      <c r="CB18" s="88">
        <f t="shared" si="83"/>
        <v>1032000</v>
      </c>
      <c r="CG18" s="110" t="s">
        <v>328</v>
      </c>
      <c r="CH18" s="88">
        <f t="shared" si="16"/>
        <v>452000</v>
      </c>
      <c r="CI18" s="88">
        <f t="shared" si="17"/>
        <v>88000</v>
      </c>
      <c r="CJ18" s="88">
        <f t="shared" si="84"/>
        <v>528000</v>
      </c>
      <c r="CO18" s="110" t="s">
        <v>328</v>
      </c>
      <c r="CP18" s="88">
        <f t="shared" si="18"/>
        <v>2400000</v>
      </c>
      <c r="CQ18" s="88">
        <f t="shared" si="19"/>
        <v>350000</v>
      </c>
      <c r="CR18" s="88">
        <f t="shared" si="85"/>
        <v>2100000</v>
      </c>
      <c r="CW18" s="110" t="s">
        <v>328</v>
      </c>
      <c r="CX18" s="88">
        <f t="shared" si="20"/>
        <v>234000</v>
      </c>
      <c r="CY18" s="88">
        <f t="shared" si="21"/>
        <v>46000</v>
      </c>
      <c r="CZ18" s="88">
        <f t="shared" si="86"/>
        <v>276000</v>
      </c>
      <c r="DE18" s="110" t="s">
        <v>328</v>
      </c>
      <c r="DF18" s="88">
        <f t="shared" si="22"/>
        <v>444000</v>
      </c>
      <c r="DG18" s="88">
        <f t="shared" si="23"/>
        <v>96000</v>
      </c>
      <c r="DH18" s="88">
        <f t="shared" si="87"/>
        <v>576000</v>
      </c>
      <c r="DM18" s="110" t="s">
        <v>328</v>
      </c>
      <c r="DN18" s="88">
        <f t="shared" si="24"/>
        <v>876000</v>
      </c>
      <c r="DO18" s="88">
        <f t="shared" si="25"/>
        <v>194000</v>
      </c>
      <c r="DP18" s="88">
        <f t="shared" si="88"/>
        <v>1164000</v>
      </c>
      <c r="DU18" s="110" t="s">
        <v>328</v>
      </c>
      <c r="DV18" s="88">
        <f t="shared" si="26"/>
        <v>1350000</v>
      </c>
      <c r="DW18" s="88">
        <f t="shared" si="27"/>
        <v>300000</v>
      </c>
      <c r="DX18" s="88">
        <f t="shared" si="89"/>
        <v>1800000</v>
      </c>
      <c r="EC18" s="110" t="s">
        <v>328</v>
      </c>
      <c r="ED18" s="88">
        <f t="shared" si="28"/>
        <v>1752000</v>
      </c>
      <c r="EE18" s="88">
        <f t="shared" si="29"/>
        <v>388000</v>
      </c>
      <c r="EF18" s="88">
        <f t="shared" si="90"/>
        <v>2328000</v>
      </c>
      <c r="EK18" s="203" t="s">
        <v>328</v>
      </c>
      <c r="EL18" s="104">
        <f t="shared" si="30"/>
        <v>1532000</v>
      </c>
      <c r="EM18" s="104">
        <f t="shared" si="31"/>
        <v>308000</v>
      </c>
      <c r="EN18" s="104">
        <f t="shared" si="91"/>
        <v>1848000</v>
      </c>
      <c r="ES18" s="110" t="s">
        <v>328</v>
      </c>
      <c r="ET18" s="88">
        <f t="shared" si="32"/>
        <v>678000</v>
      </c>
      <c r="EU18" s="88">
        <f t="shared" si="33"/>
        <v>147000</v>
      </c>
      <c r="EV18" s="88">
        <f t="shared" si="92"/>
        <v>882000</v>
      </c>
      <c r="FA18" s="110" t="s">
        <v>328</v>
      </c>
      <c r="FB18" s="88">
        <f t="shared" si="34"/>
        <v>180000</v>
      </c>
      <c r="FC18" s="88">
        <f t="shared" si="35"/>
        <v>20000</v>
      </c>
      <c r="FD18" s="88">
        <f t="shared" si="93"/>
        <v>120000</v>
      </c>
      <c r="FI18" s="110" t="s">
        <v>328</v>
      </c>
      <c r="FJ18" s="88">
        <f t="shared" si="36"/>
        <v>100800</v>
      </c>
      <c r="FK18" s="88">
        <f t="shared" si="37"/>
        <v>15200</v>
      </c>
      <c r="FL18" s="88">
        <f t="shared" si="94"/>
        <v>91200</v>
      </c>
      <c r="FQ18" s="110" t="s">
        <v>328</v>
      </c>
      <c r="FR18" s="88">
        <f t="shared" si="38"/>
        <v>2056979.2000000009</v>
      </c>
      <c r="FS18" s="88">
        <f t="shared" si="39"/>
        <v>289244.79999999999</v>
      </c>
      <c r="FT18" s="88">
        <f t="shared" si="95"/>
        <v>1735468.8</v>
      </c>
      <c r="FY18" s="110" t="s">
        <v>328</v>
      </c>
      <c r="FZ18" s="88">
        <f t="shared" si="40"/>
        <v>430000</v>
      </c>
      <c r="GA18" s="88">
        <f t="shared" si="41"/>
        <v>95000</v>
      </c>
      <c r="GB18" s="88">
        <f t="shared" si="96"/>
        <v>570000</v>
      </c>
      <c r="GG18" s="110" t="s">
        <v>328</v>
      </c>
      <c r="GH18" s="88">
        <f t="shared" si="42"/>
        <v>1260000</v>
      </c>
      <c r="GI18" s="88">
        <f t="shared" si="43"/>
        <v>290000</v>
      </c>
      <c r="GJ18" s="88">
        <f t="shared" si="97"/>
        <v>1740000</v>
      </c>
      <c r="GO18" s="110" t="s">
        <v>328</v>
      </c>
      <c r="GP18" s="88">
        <f t="shared" si="44"/>
        <v>1673600</v>
      </c>
      <c r="GQ18" s="88">
        <f t="shared" si="45"/>
        <v>218400</v>
      </c>
      <c r="GR18" s="88">
        <f t="shared" si="98"/>
        <v>1310400</v>
      </c>
      <c r="GW18" s="110" t="s">
        <v>328</v>
      </c>
      <c r="GX18" s="88">
        <f t="shared" si="46"/>
        <v>662928</v>
      </c>
      <c r="GY18" s="88">
        <f t="shared" si="47"/>
        <v>145732</v>
      </c>
      <c r="GZ18" s="88">
        <f t="shared" si="99"/>
        <v>874392</v>
      </c>
      <c r="HE18" s="110" t="s">
        <v>328</v>
      </c>
      <c r="HF18" s="88">
        <f t="shared" si="48"/>
        <v>620000</v>
      </c>
      <c r="HG18" s="88">
        <f t="shared" si="49"/>
        <v>130000</v>
      </c>
      <c r="HH18" s="88">
        <f t="shared" si="100"/>
        <v>780000</v>
      </c>
      <c r="HM18" s="110" t="s">
        <v>328</v>
      </c>
      <c r="HN18" s="88">
        <f t="shared" si="50"/>
        <v>620000</v>
      </c>
      <c r="HO18" s="88">
        <f t="shared" si="51"/>
        <v>130000</v>
      </c>
      <c r="HP18" s="88">
        <f t="shared" si="101"/>
        <v>780000</v>
      </c>
      <c r="HU18" s="110" t="s">
        <v>328</v>
      </c>
      <c r="HV18" s="88">
        <f t="shared" si="52"/>
        <v>620000</v>
      </c>
      <c r="HW18" s="88">
        <f t="shared" si="53"/>
        <v>130000</v>
      </c>
      <c r="HX18" s="88">
        <f t="shared" si="102"/>
        <v>780000</v>
      </c>
      <c r="IC18" s="110" t="s">
        <v>328</v>
      </c>
      <c r="ID18" s="88">
        <f t="shared" si="54"/>
        <v>34000</v>
      </c>
      <c r="IE18" s="88">
        <f t="shared" si="55"/>
        <v>6000</v>
      </c>
      <c r="IF18" s="88">
        <f t="shared" si="103"/>
        <v>36000</v>
      </c>
      <c r="IK18" s="110" t="s">
        <v>328</v>
      </c>
      <c r="IL18" s="88">
        <f t="shared" si="56"/>
        <v>21000</v>
      </c>
      <c r="IM18" s="88">
        <f t="shared" si="57"/>
        <v>4000</v>
      </c>
      <c r="IN18" s="88">
        <f t="shared" si="104"/>
        <v>24000</v>
      </c>
      <c r="IS18" s="110" t="s">
        <v>328</v>
      </c>
      <c r="IT18" s="88">
        <f t="shared" si="58"/>
        <v>1012000</v>
      </c>
      <c r="IU18" s="88">
        <f t="shared" si="59"/>
        <v>228000</v>
      </c>
      <c r="IV18" s="88">
        <f t="shared" si="105"/>
        <v>1368000</v>
      </c>
      <c r="JA18" s="110" t="s">
        <v>328</v>
      </c>
      <c r="JB18" s="88">
        <f t="shared" si="60"/>
        <v>136000</v>
      </c>
      <c r="JC18" s="88">
        <f t="shared" si="61"/>
        <v>26500</v>
      </c>
      <c r="JD18" s="88">
        <f t="shared" si="106"/>
        <v>159000</v>
      </c>
      <c r="JI18" s="110" t="s">
        <v>328</v>
      </c>
      <c r="JJ18" s="88">
        <f t="shared" si="62"/>
        <v>8600000</v>
      </c>
      <c r="JK18" s="88">
        <f t="shared" si="63"/>
        <v>1900000</v>
      </c>
      <c r="JL18" s="88">
        <f t="shared" si="107"/>
        <v>11400000</v>
      </c>
      <c r="JQ18" s="110" t="s">
        <v>328</v>
      </c>
      <c r="JR18" s="88">
        <f t="shared" si="64"/>
        <v>3000</v>
      </c>
      <c r="JS18" s="88">
        <f t="shared" si="65"/>
        <v>5150</v>
      </c>
      <c r="JT18" s="88">
        <f t="shared" si="108"/>
        <v>30900</v>
      </c>
      <c r="JY18" s="110" t="s">
        <v>328</v>
      </c>
      <c r="JZ18" s="88">
        <f t="shared" si="66"/>
        <v>40000</v>
      </c>
      <c r="KA18" s="88">
        <f t="shared" si="67"/>
        <v>26650</v>
      </c>
      <c r="KB18" s="88">
        <f t="shared" si="109"/>
        <v>159900</v>
      </c>
      <c r="KG18" s="30"/>
      <c r="KH18" s="31"/>
      <c r="KI18" s="31"/>
      <c r="KJ18" s="31"/>
      <c r="KO18" s="30"/>
      <c r="KP18" s="31"/>
      <c r="KQ18" s="31"/>
      <c r="KR18" s="31"/>
      <c r="KW18" s="30"/>
      <c r="KX18" s="31"/>
      <c r="KY18" s="31"/>
      <c r="KZ18" s="31"/>
    </row>
    <row r="19" spans="2:312" ht="15.75" x14ac:dyDescent="0.25">
      <c r="B19" s="15"/>
      <c r="C19" s="20"/>
      <c r="D19" s="20"/>
      <c r="E19" s="110" t="s">
        <v>328</v>
      </c>
      <c r="F19" s="88">
        <f t="shared" si="112"/>
        <v>4880000</v>
      </c>
      <c r="G19" s="88">
        <f t="shared" si="72"/>
        <v>720000</v>
      </c>
      <c r="H19" s="88">
        <f t="shared" si="113"/>
        <v>4320000</v>
      </c>
      <c r="I19" s="15"/>
      <c r="J19" s="15"/>
      <c r="K19" s="15"/>
      <c r="M19" s="110" t="s">
        <v>329</v>
      </c>
      <c r="N19" s="88">
        <f t="shared" si="73"/>
        <v>2010000</v>
      </c>
      <c r="O19" s="88">
        <f t="shared" si="0"/>
        <v>170000</v>
      </c>
      <c r="P19" s="88">
        <f t="shared" si="74"/>
        <v>1190000</v>
      </c>
      <c r="U19" s="110" t="s">
        <v>329</v>
      </c>
      <c r="V19" s="88">
        <f t="shared" si="75"/>
        <v>1305000</v>
      </c>
      <c r="W19" s="88">
        <f t="shared" si="1"/>
        <v>235000</v>
      </c>
      <c r="X19" s="88">
        <f t="shared" si="76"/>
        <v>1645000</v>
      </c>
      <c r="AC19" s="110" t="s">
        <v>329</v>
      </c>
      <c r="AD19" s="88">
        <f t="shared" si="2"/>
        <v>1315000</v>
      </c>
      <c r="AE19" s="88">
        <f t="shared" si="3"/>
        <v>205000</v>
      </c>
      <c r="AF19" s="88">
        <f t="shared" si="77"/>
        <v>1435000</v>
      </c>
      <c r="AK19" s="110" t="s">
        <v>329</v>
      </c>
      <c r="AL19" s="88">
        <f t="shared" si="4"/>
        <v>1315000</v>
      </c>
      <c r="AM19" s="88">
        <f t="shared" si="5"/>
        <v>205000</v>
      </c>
      <c r="AN19" s="88">
        <f t="shared" si="78"/>
        <v>1435000</v>
      </c>
      <c r="AS19" s="110" t="s">
        <v>329</v>
      </c>
      <c r="AT19" s="88">
        <f t="shared" si="6"/>
        <v>1040000</v>
      </c>
      <c r="AU19" s="88">
        <f t="shared" si="7"/>
        <v>280000</v>
      </c>
      <c r="AV19" s="88">
        <f t="shared" si="79"/>
        <v>1960000</v>
      </c>
      <c r="BA19" s="110" t="s">
        <v>329</v>
      </c>
      <c r="BB19" s="88">
        <f t="shared" si="8"/>
        <v>1930000</v>
      </c>
      <c r="BC19" s="88">
        <f t="shared" si="9"/>
        <v>310000</v>
      </c>
      <c r="BD19" s="88">
        <f t="shared" si="80"/>
        <v>2170000</v>
      </c>
      <c r="BI19" s="110" t="s">
        <v>329</v>
      </c>
      <c r="BJ19" s="88">
        <f t="shared" si="10"/>
        <v>146000</v>
      </c>
      <c r="BK19" s="88">
        <f t="shared" si="11"/>
        <v>22000</v>
      </c>
      <c r="BL19" s="88">
        <f t="shared" si="81"/>
        <v>154000</v>
      </c>
      <c r="BQ19" s="22" t="s">
        <v>329</v>
      </c>
      <c r="BR19" s="21">
        <f t="shared" si="12"/>
        <v>2400500</v>
      </c>
      <c r="BS19" s="21">
        <f t="shared" si="13"/>
        <v>133500</v>
      </c>
      <c r="BT19" s="21">
        <f t="shared" si="82"/>
        <v>934500</v>
      </c>
      <c r="BY19" s="110" t="s">
        <v>329</v>
      </c>
      <c r="BZ19" s="88">
        <f t="shared" si="14"/>
        <v>2016000</v>
      </c>
      <c r="CA19" s="88">
        <f t="shared" si="15"/>
        <v>172000</v>
      </c>
      <c r="CB19" s="88">
        <f t="shared" si="83"/>
        <v>1204000</v>
      </c>
      <c r="CG19" s="110" t="s">
        <v>329</v>
      </c>
      <c r="CH19" s="88">
        <f t="shared" si="16"/>
        <v>364000</v>
      </c>
      <c r="CI19" s="88">
        <f t="shared" si="17"/>
        <v>88000</v>
      </c>
      <c r="CJ19" s="88">
        <f t="shared" si="84"/>
        <v>616000</v>
      </c>
      <c r="CO19" s="110" t="s">
        <v>329</v>
      </c>
      <c r="CP19" s="88">
        <f t="shared" si="18"/>
        <v>2050000</v>
      </c>
      <c r="CQ19" s="88">
        <f t="shared" si="19"/>
        <v>350000</v>
      </c>
      <c r="CR19" s="88">
        <f t="shared" si="85"/>
        <v>2450000</v>
      </c>
      <c r="CW19" s="110" t="s">
        <v>329</v>
      </c>
      <c r="CX19" s="88">
        <f t="shared" si="20"/>
        <v>188000</v>
      </c>
      <c r="CY19" s="88">
        <f t="shared" si="21"/>
        <v>46000</v>
      </c>
      <c r="CZ19" s="88">
        <f t="shared" si="86"/>
        <v>322000</v>
      </c>
      <c r="DE19" s="110" t="s">
        <v>329</v>
      </c>
      <c r="DF19" s="88">
        <f t="shared" si="22"/>
        <v>348000</v>
      </c>
      <c r="DG19" s="88">
        <f t="shared" si="23"/>
        <v>96000</v>
      </c>
      <c r="DH19" s="88">
        <f t="shared" si="87"/>
        <v>672000</v>
      </c>
      <c r="DM19" s="110" t="s">
        <v>329</v>
      </c>
      <c r="DN19" s="88">
        <f t="shared" si="24"/>
        <v>682000</v>
      </c>
      <c r="DO19" s="88">
        <f t="shared" si="25"/>
        <v>194000</v>
      </c>
      <c r="DP19" s="88">
        <f t="shared" si="88"/>
        <v>1358000</v>
      </c>
      <c r="DU19" s="110" t="s">
        <v>329</v>
      </c>
      <c r="DV19" s="88">
        <f t="shared" si="26"/>
        <v>1050000</v>
      </c>
      <c r="DW19" s="88">
        <f t="shared" si="27"/>
        <v>300000</v>
      </c>
      <c r="DX19" s="88">
        <f t="shared" si="89"/>
        <v>2100000</v>
      </c>
      <c r="EC19" s="110" t="s">
        <v>329</v>
      </c>
      <c r="ED19" s="88">
        <f t="shared" si="28"/>
        <v>1364000</v>
      </c>
      <c r="EE19" s="88">
        <f t="shared" si="29"/>
        <v>388000</v>
      </c>
      <c r="EF19" s="88">
        <f t="shared" si="90"/>
        <v>2716000</v>
      </c>
      <c r="EK19" s="203" t="s">
        <v>329</v>
      </c>
      <c r="EL19" s="104">
        <f t="shared" si="30"/>
        <v>1224000</v>
      </c>
      <c r="EM19" s="104">
        <f t="shared" si="31"/>
        <v>308000</v>
      </c>
      <c r="EN19" s="104">
        <f t="shared" si="91"/>
        <v>2156000</v>
      </c>
      <c r="ES19" s="110" t="s">
        <v>329</v>
      </c>
      <c r="ET19" s="88">
        <f t="shared" si="32"/>
        <v>531000</v>
      </c>
      <c r="EU19" s="88">
        <f t="shared" si="33"/>
        <v>147000</v>
      </c>
      <c r="EV19" s="88">
        <f t="shared" si="92"/>
        <v>1029000</v>
      </c>
      <c r="FA19" s="110" t="s">
        <v>329</v>
      </c>
      <c r="FB19" s="88">
        <f t="shared" si="34"/>
        <v>160000</v>
      </c>
      <c r="FC19" s="88">
        <f t="shared" si="35"/>
        <v>20000</v>
      </c>
      <c r="FD19" s="88">
        <f t="shared" si="93"/>
        <v>140000</v>
      </c>
      <c r="FI19" s="110" t="s">
        <v>329</v>
      </c>
      <c r="FJ19" s="88">
        <f t="shared" si="36"/>
        <v>85600</v>
      </c>
      <c r="FK19" s="88">
        <f t="shared" si="37"/>
        <v>15200</v>
      </c>
      <c r="FL19" s="88">
        <f t="shared" si="94"/>
        <v>106400</v>
      </c>
      <c r="FQ19" s="110" t="s">
        <v>329</v>
      </c>
      <c r="FR19" s="88">
        <f t="shared" si="38"/>
        <v>1767734.4000000008</v>
      </c>
      <c r="FS19" s="88">
        <f t="shared" si="39"/>
        <v>289244.79999999999</v>
      </c>
      <c r="FT19" s="88">
        <f t="shared" si="95"/>
        <v>2024713.6</v>
      </c>
      <c r="FY19" s="110" t="s">
        <v>329</v>
      </c>
      <c r="FZ19" s="88">
        <f t="shared" si="40"/>
        <v>335000</v>
      </c>
      <c r="GA19" s="88">
        <f t="shared" si="41"/>
        <v>95000</v>
      </c>
      <c r="GB19" s="88">
        <f t="shared" si="96"/>
        <v>665000</v>
      </c>
      <c r="GG19" s="110" t="s">
        <v>329</v>
      </c>
      <c r="GH19" s="88">
        <f t="shared" si="42"/>
        <v>970000</v>
      </c>
      <c r="GI19" s="88">
        <f t="shared" si="43"/>
        <v>290000</v>
      </c>
      <c r="GJ19" s="88">
        <f t="shared" si="97"/>
        <v>2030000</v>
      </c>
      <c r="GO19" s="110" t="s">
        <v>329</v>
      </c>
      <c r="GP19" s="88">
        <f t="shared" si="44"/>
        <v>1455200</v>
      </c>
      <c r="GQ19" s="88">
        <f t="shared" si="45"/>
        <v>218400</v>
      </c>
      <c r="GR19" s="88">
        <f t="shared" si="98"/>
        <v>1528800</v>
      </c>
      <c r="GW19" s="110" t="s">
        <v>329</v>
      </c>
      <c r="GX19" s="88">
        <f t="shared" si="46"/>
        <v>517196</v>
      </c>
      <c r="GY19" s="88">
        <f t="shared" si="47"/>
        <v>145732</v>
      </c>
      <c r="GZ19" s="88">
        <f t="shared" si="99"/>
        <v>1020124</v>
      </c>
      <c r="HE19" s="110" t="s">
        <v>329</v>
      </c>
      <c r="HF19" s="88">
        <f t="shared" si="48"/>
        <v>490000</v>
      </c>
      <c r="HG19" s="88">
        <f t="shared" si="49"/>
        <v>130000</v>
      </c>
      <c r="HH19" s="88">
        <f t="shared" si="100"/>
        <v>910000</v>
      </c>
      <c r="HM19" s="110" t="s">
        <v>329</v>
      </c>
      <c r="HN19" s="88">
        <f t="shared" si="50"/>
        <v>490000</v>
      </c>
      <c r="HO19" s="88">
        <f t="shared" si="51"/>
        <v>130000</v>
      </c>
      <c r="HP19" s="88">
        <f t="shared" si="101"/>
        <v>910000</v>
      </c>
      <c r="HU19" s="110" t="s">
        <v>329</v>
      </c>
      <c r="HV19" s="88">
        <f t="shared" si="52"/>
        <v>490000</v>
      </c>
      <c r="HW19" s="88">
        <f t="shared" si="53"/>
        <v>130000</v>
      </c>
      <c r="HX19" s="88">
        <f t="shared" si="102"/>
        <v>910000</v>
      </c>
      <c r="IC19" s="110" t="s">
        <v>329</v>
      </c>
      <c r="ID19" s="88">
        <f t="shared" si="54"/>
        <v>28000</v>
      </c>
      <c r="IE19" s="88">
        <f t="shared" si="55"/>
        <v>6000</v>
      </c>
      <c r="IF19" s="88">
        <f t="shared" si="103"/>
        <v>42000</v>
      </c>
      <c r="IK19" s="110" t="s">
        <v>329</v>
      </c>
      <c r="IL19" s="88">
        <f t="shared" si="56"/>
        <v>17000</v>
      </c>
      <c r="IM19" s="88">
        <f t="shared" si="57"/>
        <v>4000</v>
      </c>
      <c r="IN19" s="88">
        <f t="shared" si="104"/>
        <v>28000</v>
      </c>
      <c r="IS19" s="110" t="s">
        <v>329</v>
      </c>
      <c r="IT19" s="88">
        <f t="shared" si="58"/>
        <v>784000</v>
      </c>
      <c r="IU19" s="88">
        <f t="shared" si="59"/>
        <v>228000</v>
      </c>
      <c r="IV19" s="88">
        <f t="shared" si="105"/>
        <v>1596000</v>
      </c>
      <c r="JA19" s="110" t="s">
        <v>329</v>
      </c>
      <c r="JB19" s="88">
        <f t="shared" si="60"/>
        <v>109500</v>
      </c>
      <c r="JC19" s="88">
        <f t="shared" si="61"/>
        <v>26500</v>
      </c>
      <c r="JD19" s="88">
        <f t="shared" si="106"/>
        <v>185500</v>
      </c>
      <c r="JI19" s="110" t="s">
        <v>329</v>
      </c>
      <c r="JJ19" s="88">
        <f t="shared" si="62"/>
        <v>6700000</v>
      </c>
      <c r="JK19" s="88">
        <f t="shared" si="63"/>
        <v>1900000</v>
      </c>
      <c r="JL19" s="88">
        <f t="shared" si="107"/>
        <v>13300000</v>
      </c>
      <c r="JQ19" s="30"/>
      <c r="JR19" s="31"/>
      <c r="JS19" s="31"/>
      <c r="JT19" s="31"/>
      <c r="JY19" s="30"/>
      <c r="JZ19" s="31"/>
      <c r="KA19" s="31"/>
      <c r="KB19" s="31"/>
      <c r="KG19" s="30"/>
      <c r="KH19" s="31"/>
      <c r="KI19" s="31"/>
      <c r="KJ19" s="31"/>
      <c r="KO19" s="30"/>
      <c r="KP19" s="31"/>
      <c r="KQ19" s="31"/>
      <c r="KR19" s="31"/>
      <c r="KW19" s="30"/>
      <c r="KX19" s="31"/>
      <c r="KY19" s="31"/>
      <c r="KZ19" s="31"/>
    </row>
    <row r="20" spans="2:312" ht="15.75" x14ac:dyDescent="0.25">
      <c r="B20" s="15"/>
      <c r="C20" s="20"/>
      <c r="D20" s="20"/>
      <c r="E20" s="110" t="s">
        <v>329</v>
      </c>
      <c r="F20" s="88">
        <f>F19-G20</f>
        <v>4160000</v>
      </c>
      <c r="G20" s="88">
        <f t="shared" si="72"/>
        <v>720000</v>
      </c>
      <c r="H20" s="88">
        <f t="shared" si="113"/>
        <v>5040000</v>
      </c>
      <c r="I20" s="15"/>
      <c r="J20" s="15"/>
      <c r="K20" s="15"/>
      <c r="M20" s="110" t="s">
        <v>330</v>
      </c>
      <c r="N20" s="88">
        <f t="shared" si="73"/>
        <v>1840000</v>
      </c>
      <c r="O20" s="88">
        <f t="shared" si="0"/>
        <v>170000</v>
      </c>
      <c r="P20" s="88">
        <f t="shared" si="74"/>
        <v>1360000</v>
      </c>
      <c r="U20" s="110" t="s">
        <v>330</v>
      </c>
      <c r="V20" s="88">
        <f t="shared" si="75"/>
        <v>1070000</v>
      </c>
      <c r="W20" s="88">
        <f t="shared" si="1"/>
        <v>235000</v>
      </c>
      <c r="X20" s="88">
        <f t="shared" si="76"/>
        <v>1880000</v>
      </c>
      <c r="AC20" s="110" t="s">
        <v>330</v>
      </c>
      <c r="AD20" s="88">
        <f t="shared" si="2"/>
        <v>1110000</v>
      </c>
      <c r="AE20" s="88">
        <f t="shared" si="3"/>
        <v>205000</v>
      </c>
      <c r="AF20" s="88">
        <f t="shared" si="77"/>
        <v>1640000</v>
      </c>
      <c r="AK20" s="110" t="s">
        <v>330</v>
      </c>
      <c r="AL20" s="88">
        <f t="shared" si="4"/>
        <v>1110000</v>
      </c>
      <c r="AM20" s="88">
        <f t="shared" si="5"/>
        <v>205000</v>
      </c>
      <c r="AN20" s="88">
        <f t="shared" si="78"/>
        <v>1640000</v>
      </c>
      <c r="AS20" s="110" t="s">
        <v>330</v>
      </c>
      <c r="AT20" s="88">
        <f t="shared" si="6"/>
        <v>760000</v>
      </c>
      <c r="AU20" s="88">
        <f t="shared" si="7"/>
        <v>280000</v>
      </c>
      <c r="AV20" s="88">
        <f t="shared" si="79"/>
        <v>2240000</v>
      </c>
      <c r="BA20" s="110" t="s">
        <v>330</v>
      </c>
      <c r="BB20" s="88">
        <f t="shared" si="8"/>
        <v>1620000</v>
      </c>
      <c r="BC20" s="88">
        <f t="shared" si="9"/>
        <v>310000</v>
      </c>
      <c r="BD20" s="88">
        <f t="shared" si="80"/>
        <v>2480000</v>
      </c>
      <c r="BI20" s="110" t="s">
        <v>330</v>
      </c>
      <c r="BJ20" s="88">
        <f t="shared" si="10"/>
        <v>124000</v>
      </c>
      <c r="BK20" s="88">
        <f t="shared" si="11"/>
        <v>22000</v>
      </c>
      <c r="BL20" s="88">
        <f t="shared" si="81"/>
        <v>176000</v>
      </c>
      <c r="BQ20" s="22" t="s">
        <v>330</v>
      </c>
      <c r="BR20" s="21">
        <f t="shared" si="12"/>
        <v>2267000</v>
      </c>
      <c r="BS20" s="21">
        <f t="shared" si="13"/>
        <v>133500</v>
      </c>
      <c r="BT20" s="21">
        <f t="shared" si="82"/>
        <v>1068000</v>
      </c>
      <c r="BY20" s="110" t="s">
        <v>330</v>
      </c>
      <c r="BZ20" s="88">
        <f t="shared" si="14"/>
        <v>1844000</v>
      </c>
      <c r="CA20" s="88">
        <f t="shared" si="15"/>
        <v>172000</v>
      </c>
      <c r="CB20" s="88">
        <f t="shared" si="83"/>
        <v>1376000</v>
      </c>
      <c r="CG20" s="110" t="s">
        <v>330</v>
      </c>
      <c r="CH20" s="88">
        <f t="shared" si="16"/>
        <v>276000</v>
      </c>
      <c r="CI20" s="88">
        <f t="shared" si="17"/>
        <v>88000</v>
      </c>
      <c r="CJ20" s="88">
        <f t="shared" si="84"/>
        <v>704000</v>
      </c>
      <c r="CO20" s="110" t="s">
        <v>330</v>
      </c>
      <c r="CP20" s="88">
        <f t="shared" si="18"/>
        <v>1700000</v>
      </c>
      <c r="CQ20" s="88">
        <f t="shared" si="19"/>
        <v>350000</v>
      </c>
      <c r="CR20" s="88">
        <f t="shared" si="85"/>
        <v>2800000</v>
      </c>
      <c r="CW20" s="110" t="s">
        <v>330</v>
      </c>
      <c r="CX20" s="88">
        <f t="shared" si="20"/>
        <v>142000</v>
      </c>
      <c r="CY20" s="88">
        <f t="shared" si="21"/>
        <v>46000</v>
      </c>
      <c r="CZ20" s="88">
        <f t="shared" si="86"/>
        <v>368000</v>
      </c>
      <c r="DE20" s="110" t="s">
        <v>330</v>
      </c>
      <c r="DF20" s="88">
        <f t="shared" si="22"/>
        <v>252000</v>
      </c>
      <c r="DG20" s="88">
        <f t="shared" si="23"/>
        <v>96000</v>
      </c>
      <c r="DH20" s="88">
        <f t="shared" si="87"/>
        <v>768000</v>
      </c>
      <c r="DM20" s="110" t="s">
        <v>330</v>
      </c>
      <c r="DN20" s="88">
        <f t="shared" si="24"/>
        <v>488000</v>
      </c>
      <c r="DO20" s="88">
        <f t="shared" si="25"/>
        <v>194000</v>
      </c>
      <c r="DP20" s="88">
        <f t="shared" si="88"/>
        <v>1552000</v>
      </c>
      <c r="DU20" s="110" t="s">
        <v>330</v>
      </c>
      <c r="DV20" s="88">
        <f t="shared" si="26"/>
        <v>750000</v>
      </c>
      <c r="DW20" s="88">
        <f t="shared" si="27"/>
        <v>300000</v>
      </c>
      <c r="DX20" s="88">
        <f t="shared" si="89"/>
        <v>2400000</v>
      </c>
      <c r="EC20" s="110" t="s">
        <v>330</v>
      </c>
      <c r="ED20" s="88">
        <f t="shared" si="28"/>
        <v>976000</v>
      </c>
      <c r="EE20" s="88">
        <f t="shared" si="29"/>
        <v>388000</v>
      </c>
      <c r="EF20" s="88">
        <f t="shared" si="90"/>
        <v>3104000</v>
      </c>
      <c r="EK20" s="203" t="s">
        <v>330</v>
      </c>
      <c r="EL20" s="104">
        <f t="shared" si="30"/>
        <v>916000</v>
      </c>
      <c r="EM20" s="104">
        <f t="shared" si="31"/>
        <v>308000</v>
      </c>
      <c r="EN20" s="104">
        <f t="shared" si="91"/>
        <v>2464000</v>
      </c>
      <c r="ES20" s="110" t="s">
        <v>330</v>
      </c>
      <c r="ET20" s="88">
        <f t="shared" si="32"/>
        <v>384000</v>
      </c>
      <c r="EU20" s="88">
        <f t="shared" si="33"/>
        <v>147000</v>
      </c>
      <c r="EV20" s="88">
        <f t="shared" si="92"/>
        <v>1176000</v>
      </c>
      <c r="FA20" s="110" t="s">
        <v>330</v>
      </c>
      <c r="FB20" s="88">
        <f t="shared" si="34"/>
        <v>140000</v>
      </c>
      <c r="FC20" s="88">
        <f t="shared" si="35"/>
        <v>20000</v>
      </c>
      <c r="FD20" s="88">
        <f t="shared" si="93"/>
        <v>160000</v>
      </c>
      <c r="FI20" s="110" t="s">
        <v>330</v>
      </c>
      <c r="FJ20" s="88">
        <f t="shared" si="36"/>
        <v>70400</v>
      </c>
      <c r="FK20" s="88">
        <f t="shared" si="37"/>
        <v>15200</v>
      </c>
      <c r="FL20" s="88">
        <f t="shared" si="94"/>
        <v>121600</v>
      </c>
      <c r="FQ20" s="110" t="s">
        <v>330</v>
      </c>
      <c r="FR20" s="88">
        <f t="shared" si="38"/>
        <v>1478489.6000000008</v>
      </c>
      <c r="FS20" s="88">
        <f t="shared" si="39"/>
        <v>289244.79999999999</v>
      </c>
      <c r="FT20" s="88">
        <f t="shared" si="95"/>
        <v>2313958.3999999999</v>
      </c>
      <c r="FY20" s="110" t="s">
        <v>330</v>
      </c>
      <c r="FZ20" s="88">
        <f t="shared" si="40"/>
        <v>240000</v>
      </c>
      <c r="GA20" s="88">
        <f t="shared" si="41"/>
        <v>95000</v>
      </c>
      <c r="GB20" s="88">
        <f t="shared" si="96"/>
        <v>760000</v>
      </c>
      <c r="GG20" s="110" t="s">
        <v>330</v>
      </c>
      <c r="GH20" s="88">
        <f t="shared" si="42"/>
        <v>680000</v>
      </c>
      <c r="GI20" s="88">
        <f t="shared" si="43"/>
        <v>290000</v>
      </c>
      <c r="GJ20" s="88">
        <f t="shared" si="97"/>
        <v>2320000</v>
      </c>
      <c r="GO20" s="110" t="s">
        <v>330</v>
      </c>
      <c r="GP20" s="88">
        <f t="shared" si="44"/>
        <v>1236800</v>
      </c>
      <c r="GQ20" s="88">
        <f t="shared" si="45"/>
        <v>218400</v>
      </c>
      <c r="GR20" s="88">
        <f t="shared" si="98"/>
        <v>1747200</v>
      </c>
      <c r="GW20" s="110" t="s">
        <v>330</v>
      </c>
      <c r="GX20" s="88">
        <f t="shared" si="46"/>
        <v>371464</v>
      </c>
      <c r="GY20" s="88">
        <f t="shared" si="47"/>
        <v>145732</v>
      </c>
      <c r="GZ20" s="88">
        <f t="shared" si="99"/>
        <v>1165856</v>
      </c>
      <c r="HE20" s="110" t="s">
        <v>330</v>
      </c>
      <c r="HF20" s="88">
        <f t="shared" si="48"/>
        <v>360000</v>
      </c>
      <c r="HG20" s="88">
        <f t="shared" si="49"/>
        <v>130000</v>
      </c>
      <c r="HH20" s="88">
        <f t="shared" si="100"/>
        <v>1040000</v>
      </c>
      <c r="HM20" s="110" t="s">
        <v>330</v>
      </c>
      <c r="HN20" s="88">
        <f t="shared" si="50"/>
        <v>360000</v>
      </c>
      <c r="HO20" s="88">
        <f t="shared" si="51"/>
        <v>130000</v>
      </c>
      <c r="HP20" s="88">
        <f t="shared" si="101"/>
        <v>1040000</v>
      </c>
      <c r="HU20" s="110" t="s">
        <v>330</v>
      </c>
      <c r="HV20" s="88">
        <f t="shared" si="52"/>
        <v>360000</v>
      </c>
      <c r="HW20" s="88">
        <f t="shared" si="53"/>
        <v>130000</v>
      </c>
      <c r="HX20" s="88">
        <f t="shared" si="102"/>
        <v>1040000</v>
      </c>
      <c r="IC20" s="110" t="s">
        <v>330</v>
      </c>
      <c r="ID20" s="88">
        <f t="shared" si="54"/>
        <v>22000</v>
      </c>
      <c r="IE20" s="88">
        <f t="shared" si="55"/>
        <v>6000</v>
      </c>
      <c r="IF20" s="88">
        <f t="shared" si="103"/>
        <v>48000</v>
      </c>
      <c r="IK20" s="110" t="s">
        <v>330</v>
      </c>
      <c r="IL20" s="88">
        <f t="shared" si="56"/>
        <v>13000</v>
      </c>
      <c r="IM20" s="88">
        <f t="shared" si="57"/>
        <v>4000</v>
      </c>
      <c r="IN20" s="88">
        <f t="shared" si="104"/>
        <v>32000</v>
      </c>
      <c r="IS20" s="110" t="s">
        <v>330</v>
      </c>
      <c r="IT20" s="88">
        <f t="shared" si="58"/>
        <v>556000</v>
      </c>
      <c r="IU20" s="88">
        <f t="shared" si="59"/>
        <v>228000</v>
      </c>
      <c r="IV20" s="88">
        <f t="shared" si="105"/>
        <v>1824000</v>
      </c>
      <c r="JA20" s="110" t="s">
        <v>330</v>
      </c>
      <c r="JB20" s="88">
        <f t="shared" si="60"/>
        <v>83000</v>
      </c>
      <c r="JC20" s="88">
        <f t="shared" si="61"/>
        <v>26500</v>
      </c>
      <c r="JD20" s="88">
        <f t="shared" si="106"/>
        <v>212000</v>
      </c>
      <c r="JI20" s="110" t="s">
        <v>330</v>
      </c>
      <c r="JJ20" s="88">
        <f t="shared" si="62"/>
        <v>4800000</v>
      </c>
      <c r="JK20" s="88">
        <f t="shared" si="63"/>
        <v>1900000</v>
      </c>
      <c r="JL20" s="88">
        <f t="shared" si="107"/>
        <v>15200000</v>
      </c>
      <c r="JQ20" s="30"/>
      <c r="JR20" s="31"/>
      <c r="JS20" s="31"/>
      <c r="JT20" s="31"/>
      <c r="JY20" s="30"/>
      <c r="JZ20" s="31"/>
      <c r="KA20" s="31"/>
      <c r="KB20" s="31"/>
      <c r="KG20" s="30"/>
      <c r="KH20" s="31"/>
      <c r="KI20" s="31"/>
      <c r="KJ20" s="31"/>
      <c r="KO20" s="30"/>
      <c r="KP20" s="31"/>
      <c r="KQ20" s="31"/>
      <c r="KR20" s="31"/>
      <c r="KW20" s="30"/>
      <c r="KX20" s="31"/>
      <c r="KY20" s="31"/>
      <c r="KZ20" s="31"/>
    </row>
    <row r="21" spans="2:312" ht="15.75" x14ac:dyDescent="0.25">
      <c r="B21" s="15"/>
      <c r="C21" s="20"/>
      <c r="D21" s="20"/>
      <c r="E21" s="110" t="s">
        <v>330</v>
      </c>
      <c r="F21" s="88">
        <f t="shared" si="112"/>
        <v>3440000</v>
      </c>
      <c r="G21" s="88">
        <f t="shared" si="72"/>
        <v>720000</v>
      </c>
      <c r="H21" s="88">
        <f t="shared" si="113"/>
        <v>5760000</v>
      </c>
      <c r="I21" s="15"/>
      <c r="J21" s="15"/>
      <c r="K21" s="15"/>
      <c r="M21" s="110" t="s">
        <v>331</v>
      </c>
      <c r="N21" s="88">
        <f t="shared" si="73"/>
        <v>1670000</v>
      </c>
      <c r="O21" s="88">
        <f t="shared" si="0"/>
        <v>170000</v>
      </c>
      <c r="P21" s="88">
        <f t="shared" si="74"/>
        <v>1530000</v>
      </c>
      <c r="U21" s="110" t="s">
        <v>331</v>
      </c>
      <c r="V21" s="88">
        <f t="shared" si="75"/>
        <v>835000</v>
      </c>
      <c r="W21" s="88">
        <f t="shared" si="1"/>
        <v>235000</v>
      </c>
      <c r="X21" s="88">
        <f t="shared" si="76"/>
        <v>2115000</v>
      </c>
      <c r="AC21" s="110" t="s">
        <v>331</v>
      </c>
      <c r="AD21" s="88">
        <f t="shared" si="2"/>
        <v>905000</v>
      </c>
      <c r="AE21" s="88">
        <f t="shared" si="3"/>
        <v>205000</v>
      </c>
      <c r="AF21" s="88">
        <f t="shared" si="77"/>
        <v>1845000</v>
      </c>
      <c r="AK21" s="110" t="s">
        <v>331</v>
      </c>
      <c r="AL21" s="88">
        <f t="shared" si="4"/>
        <v>905000</v>
      </c>
      <c r="AM21" s="88">
        <f t="shared" si="5"/>
        <v>205000</v>
      </c>
      <c r="AN21" s="88">
        <f t="shared" si="78"/>
        <v>1845000</v>
      </c>
      <c r="AS21" s="110" t="s">
        <v>331</v>
      </c>
      <c r="AT21" s="88">
        <f t="shared" si="6"/>
        <v>480000</v>
      </c>
      <c r="AU21" s="88">
        <f t="shared" si="7"/>
        <v>280000</v>
      </c>
      <c r="AV21" s="88">
        <f t="shared" si="79"/>
        <v>2520000</v>
      </c>
      <c r="BA21" s="110" t="s">
        <v>331</v>
      </c>
      <c r="BB21" s="88">
        <f t="shared" si="8"/>
        <v>1310000</v>
      </c>
      <c r="BC21" s="88">
        <f t="shared" si="9"/>
        <v>310000</v>
      </c>
      <c r="BD21" s="88">
        <f t="shared" si="80"/>
        <v>2790000</v>
      </c>
      <c r="BI21" s="110" t="s">
        <v>331</v>
      </c>
      <c r="BJ21" s="88">
        <f t="shared" si="10"/>
        <v>102000</v>
      </c>
      <c r="BK21" s="88">
        <f t="shared" si="11"/>
        <v>22000</v>
      </c>
      <c r="BL21" s="88">
        <f t="shared" si="81"/>
        <v>198000</v>
      </c>
      <c r="BQ21" s="22" t="s">
        <v>331</v>
      </c>
      <c r="BR21" s="21">
        <f t="shared" si="12"/>
        <v>2133500</v>
      </c>
      <c r="BS21" s="21">
        <f t="shared" si="13"/>
        <v>133500</v>
      </c>
      <c r="BT21" s="21">
        <f t="shared" si="82"/>
        <v>1201500</v>
      </c>
      <c r="BY21" s="110" t="s">
        <v>331</v>
      </c>
      <c r="BZ21" s="88">
        <f t="shared" si="14"/>
        <v>1672000</v>
      </c>
      <c r="CA21" s="88">
        <f t="shared" si="15"/>
        <v>172000</v>
      </c>
      <c r="CB21" s="88">
        <f t="shared" si="83"/>
        <v>1548000</v>
      </c>
      <c r="CG21" s="110" t="s">
        <v>331</v>
      </c>
      <c r="CH21" s="88">
        <f t="shared" si="16"/>
        <v>188000</v>
      </c>
      <c r="CI21" s="88">
        <f t="shared" si="17"/>
        <v>88000</v>
      </c>
      <c r="CJ21" s="88">
        <f t="shared" si="84"/>
        <v>792000</v>
      </c>
      <c r="CO21" s="110" t="s">
        <v>331</v>
      </c>
      <c r="CP21" s="88">
        <f t="shared" si="18"/>
        <v>1350000</v>
      </c>
      <c r="CQ21" s="88">
        <f t="shared" si="19"/>
        <v>350000</v>
      </c>
      <c r="CR21" s="88">
        <f t="shared" si="85"/>
        <v>3150000</v>
      </c>
      <c r="CW21" s="110" t="s">
        <v>331</v>
      </c>
      <c r="CX21" s="88">
        <f t="shared" si="20"/>
        <v>96000</v>
      </c>
      <c r="CY21" s="88">
        <f t="shared" si="21"/>
        <v>46000</v>
      </c>
      <c r="CZ21" s="88">
        <f t="shared" si="86"/>
        <v>414000</v>
      </c>
      <c r="DE21" s="110" t="s">
        <v>331</v>
      </c>
      <c r="DF21" s="88">
        <f t="shared" si="22"/>
        <v>156000</v>
      </c>
      <c r="DG21" s="88">
        <f t="shared" si="23"/>
        <v>96000</v>
      </c>
      <c r="DH21" s="88">
        <f t="shared" si="87"/>
        <v>864000</v>
      </c>
      <c r="DM21" s="110" t="s">
        <v>331</v>
      </c>
      <c r="DN21" s="88">
        <f t="shared" si="24"/>
        <v>294000</v>
      </c>
      <c r="DO21" s="88">
        <f t="shared" si="25"/>
        <v>194000</v>
      </c>
      <c r="DP21" s="88">
        <f t="shared" si="88"/>
        <v>1746000</v>
      </c>
      <c r="DU21" s="110" t="s">
        <v>331</v>
      </c>
      <c r="DV21" s="88">
        <f t="shared" si="26"/>
        <v>450000</v>
      </c>
      <c r="DW21" s="88">
        <f t="shared" si="27"/>
        <v>300000</v>
      </c>
      <c r="DX21" s="88">
        <f t="shared" si="89"/>
        <v>2700000</v>
      </c>
      <c r="EC21" s="110" t="s">
        <v>331</v>
      </c>
      <c r="ED21" s="88">
        <f t="shared" si="28"/>
        <v>588000</v>
      </c>
      <c r="EE21" s="88">
        <f t="shared" si="29"/>
        <v>388000</v>
      </c>
      <c r="EF21" s="88">
        <f t="shared" si="90"/>
        <v>3492000</v>
      </c>
      <c r="EK21" s="203" t="s">
        <v>331</v>
      </c>
      <c r="EL21" s="104">
        <f t="shared" si="30"/>
        <v>608000</v>
      </c>
      <c r="EM21" s="104">
        <f t="shared" si="31"/>
        <v>308000</v>
      </c>
      <c r="EN21" s="104">
        <f t="shared" si="91"/>
        <v>2772000</v>
      </c>
      <c r="ES21" s="110" t="s">
        <v>331</v>
      </c>
      <c r="ET21" s="88">
        <f t="shared" si="32"/>
        <v>237000</v>
      </c>
      <c r="EU21" s="88">
        <f t="shared" si="33"/>
        <v>147000</v>
      </c>
      <c r="EV21" s="88">
        <f t="shared" si="92"/>
        <v>1323000</v>
      </c>
      <c r="FA21" s="110" t="s">
        <v>331</v>
      </c>
      <c r="FB21" s="88">
        <f t="shared" si="34"/>
        <v>120000</v>
      </c>
      <c r="FC21" s="88">
        <f t="shared" si="35"/>
        <v>20000</v>
      </c>
      <c r="FD21" s="88">
        <f t="shared" si="93"/>
        <v>180000</v>
      </c>
      <c r="FI21" s="110" t="s">
        <v>331</v>
      </c>
      <c r="FJ21" s="88">
        <f t="shared" si="36"/>
        <v>55200</v>
      </c>
      <c r="FK21" s="88">
        <f t="shared" si="37"/>
        <v>15200</v>
      </c>
      <c r="FL21" s="88">
        <f t="shared" si="94"/>
        <v>136800</v>
      </c>
      <c r="FQ21" s="110" t="s">
        <v>331</v>
      </c>
      <c r="FR21" s="88">
        <f t="shared" si="38"/>
        <v>1189244.8000000007</v>
      </c>
      <c r="FS21" s="88">
        <f t="shared" si="39"/>
        <v>289244.79999999999</v>
      </c>
      <c r="FT21" s="88">
        <f t="shared" si="95"/>
        <v>2603203.1999999997</v>
      </c>
      <c r="FY21" s="110" t="s">
        <v>331</v>
      </c>
      <c r="FZ21" s="88">
        <f t="shared" si="40"/>
        <v>145000</v>
      </c>
      <c r="GA21" s="88">
        <f t="shared" si="41"/>
        <v>95000</v>
      </c>
      <c r="GB21" s="88">
        <f t="shared" si="96"/>
        <v>855000</v>
      </c>
      <c r="GG21" s="110" t="s">
        <v>331</v>
      </c>
      <c r="GH21" s="88">
        <f t="shared" si="42"/>
        <v>390000</v>
      </c>
      <c r="GI21" s="88">
        <f t="shared" si="43"/>
        <v>290000</v>
      </c>
      <c r="GJ21" s="88">
        <f t="shared" si="97"/>
        <v>2610000</v>
      </c>
      <c r="GO21" s="110" t="s">
        <v>331</v>
      </c>
      <c r="GP21" s="88">
        <f t="shared" si="44"/>
        <v>1018400</v>
      </c>
      <c r="GQ21" s="88">
        <f t="shared" si="45"/>
        <v>218400</v>
      </c>
      <c r="GR21" s="88">
        <f t="shared" si="98"/>
        <v>1965600</v>
      </c>
      <c r="GW21" s="110" t="s">
        <v>331</v>
      </c>
      <c r="GX21" s="88">
        <f t="shared" si="46"/>
        <v>225732</v>
      </c>
      <c r="GY21" s="88">
        <f t="shared" si="47"/>
        <v>145732</v>
      </c>
      <c r="GZ21" s="88">
        <f t="shared" si="99"/>
        <v>1311588</v>
      </c>
      <c r="HE21" s="110" t="s">
        <v>331</v>
      </c>
      <c r="HF21" s="88">
        <f t="shared" si="48"/>
        <v>230000</v>
      </c>
      <c r="HG21" s="88">
        <f t="shared" si="49"/>
        <v>130000</v>
      </c>
      <c r="HH21" s="88">
        <f t="shared" si="100"/>
        <v>1170000</v>
      </c>
      <c r="HM21" s="110" t="s">
        <v>331</v>
      </c>
      <c r="HN21" s="88">
        <f t="shared" si="50"/>
        <v>230000</v>
      </c>
      <c r="HO21" s="88">
        <f t="shared" si="51"/>
        <v>130000</v>
      </c>
      <c r="HP21" s="88">
        <f t="shared" si="101"/>
        <v>1170000</v>
      </c>
      <c r="HU21" s="110" t="s">
        <v>331</v>
      </c>
      <c r="HV21" s="88">
        <f t="shared" si="52"/>
        <v>230000</v>
      </c>
      <c r="HW21" s="88">
        <f t="shared" si="53"/>
        <v>130000</v>
      </c>
      <c r="HX21" s="88">
        <f t="shared" si="102"/>
        <v>1170000</v>
      </c>
      <c r="IC21" s="110" t="s">
        <v>331</v>
      </c>
      <c r="ID21" s="88">
        <f t="shared" si="54"/>
        <v>16000</v>
      </c>
      <c r="IE21" s="88">
        <f t="shared" si="55"/>
        <v>6000</v>
      </c>
      <c r="IF21" s="88">
        <f t="shared" si="103"/>
        <v>54000</v>
      </c>
      <c r="IK21" s="110" t="s">
        <v>331</v>
      </c>
      <c r="IL21" s="88">
        <f t="shared" si="56"/>
        <v>9000</v>
      </c>
      <c r="IM21" s="88">
        <f t="shared" si="57"/>
        <v>4000</v>
      </c>
      <c r="IN21" s="88">
        <f t="shared" si="104"/>
        <v>36000</v>
      </c>
      <c r="IS21" s="110" t="s">
        <v>331</v>
      </c>
      <c r="IT21" s="88">
        <f t="shared" si="58"/>
        <v>328000</v>
      </c>
      <c r="IU21" s="88">
        <f t="shared" si="59"/>
        <v>228000</v>
      </c>
      <c r="IV21" s="88">
        <f t="shared" si="105"/>
        <v>2052000</v>
      </c>
      <c r="JA21" s="110" t="s">
        <v>331</v>
      </c>
      <c r="JB21" s="88">
        <f t="shared" si="60"/>
        <v>56500</v>
      </c>
      <c r="JC21" s="88">
        <f t="shared" si="61"/>
        <v>26500</v>
      </c>
      <c r="JD21" s="88">
        <f t="shared" si="106"/>
        <v>238500</v>
      </c>
      <c r="JI21" s="110" t="s">
        <v>331</v>
      </c>
      <c r="JJ21" s="88">
        <f t="shared" si="62"/>
        <v>2900000</v>
      </c>
      <c r="JK21" s="88">
        <f t="shared" si="63"/>
        <v>1900000</v>
      </c>
      <c r="JL21" s="88">
        <f t="shared" si="107"/>
        <v>17100000</v>
      </c>
      <c r="JQ21" s="30"/>
      <c r="JR21" s="31"/>
      <c r="JS21" s="31"/>
      <c r="JT21" s="31"/>
      <c r="JY21" s="30"/>
      <c r="JZ21" s="31"/>
      <c r="KA21" s="31"/>
      <c r="KB21" s="31"/>
      <c r="KG21" s="30"/>
      <c r="KH21" s="31"/>
      <c r="KI21" s="31"/>
      <c r="KJ21" s="31"/>
      <c r="KO21" s="30"/>
      <c r="KP21" s="31"/>
      <c r="KQ21" s="31"/>
      <c r="KR21" s="31"/>
      <c r="KW21" s="30"/>
      <c r="KX21" s="31"/>
      <c r="KY21" s="31"/>
      <c r="KZ21" s="31"/>
    </row>
    <row r="22" spans="2:312" ht="15.75" x14ac:dyDescent="0.25">
      <c r="B22" s="15"/>
      <c r="C22" s="20"/>
      <c r="D22" s="20"/>
      <c r="E22" s="110" t="s">
        <v>331</v>
      </c>
      <c r="F22" s="88">
        <f t="shared" si="112"/>
        <v>2720000</v>
      </c>
      <c r="G22" s="88">
        <f t="shared" si="72"/>
        <v>720000</v>
      </c>
      <c r="H22" s="88">
        <f>H21+G22</f>
        <v>6480000</v>
      </c>
      <c r="I22" s="15"/>
      <c r="J22" s="15"/>
      <c r="K22" s="15"/>
      <c r="M22" s="110" t="s">
        <v>332</v>
      </c>
      <c r="N22" s="88">
        <f t="shared" si="73"/>
        <v>1500000</v>
      </c>
      <c r="O22" s="88">
        <f t="shared" si="0"/>
        <v>170000</v>
      </c>
      <c r="P22" s="88">
        <f>P21+O22</f>
        <v>1700000</v>
      </c>
      <c r="U22" s="110" t="s">
        <v>332</v>
      </c>
      <c r="V22" s="88">
        <f t="shared" si="75"/>
        <v>600000</v>
      </c>
      <c r="W22" s="88">
        <f t="shared" si="1"/>
        <v>235000</v>
      </c>
      <c r="X22" s="88">
        <f t="shared" si="76"/>
        <v>2350000</v>
      </c>
      <c r="AC22" s="110" t="s">
        <v>332</v>
      </c>
      <c r="AD22" s="88">
        <f t="shared" si="2"/>
        <v>700000</v>
      </c>
      <c r="AE22" s="88">
        <f t="shared" si="3"/>
        <v>205000</v>
      </c>
      <c r="AF22" s="88">
        <f t="shared" si="77"/>
        <v>2050000</v>
      </c>
      <c r="AK22" s="110" t="s">
        <v>332</v>
      </c>
      <c r="AL22" s="88">
        <f t="shared" si="4"/>
        <v>700000</v>
      </c>
      <c r="AM22" s="88">
        <f t="shared" si="5"/>
        <v>205000</v>
      </c>
      <c r="AN22" s="88">
        <f t="shared" si="78"/>
        <v>2050000</v>
      </c>
      <c r="AS22" s="110" t="s">
        <v>332</v>
      </c>
      <c r="AT22" s="88">
        <f t="shared" si="6"/>
        <v>200000</v>
      </c>
      <c r="AU22" s="88">
        <f t="shared" si="7"/>
        <v>280000</v>
      </c>
      <c r="AV22" s="88">
        <f t="shared" si="79"/>
        <v>2800000</v>
      </c>
      <c r="BA22" s="110" t="s">
        <v>332</v>
      </c>
      <c r="BB22" s="88">
        <f t="shared" si="8"/>
        <v>1000000</v>
      </c>
      <c r="BC22" s="88">
        <f t="shared" si="9"/>
        <v>310000</v>
      </c>
      <c r="BD22" s="88">
        <f t="shared" si="80"/>
        <v>3100000</v>
      </c>
      <c r="BI22" s="110" t="s">
        <v>332</v>
      </c>
      <c r="BJ22" s="88">
        <f t="shared" si="10"/>
        <v>80000</v>
      </c>
      <c r="BK22" s="88">
        <f t="shared" si="11"/>
        <v>22000</v>
      </c>
      <c r="BL22" s="88">
        <f t="shared" si="81"/>
        <v>220000</v>
      </c>
      <c r="BQ22" s="22" t="s">
        <v>332</v>
      </c>
      <c r="BR22" s="21">
        <f t="shared" si="12"/>
        <v>2000000</v>
      </c>
      <c r="BS22" s="21">
        <f t="shared" si="13"/>
        <v>133500</v>
      </c>
      <c r="BT22" s="21">
        <f t="shared" si="82"/>
        <v>1335000</v>
      </c>
      <c r="BY22" s="110" t="s">
        <v>332</v>
      </c>
      <c r="BZ22" s="88">
        <f t="shared" si="14"/>
        <v>1500000</v>
      </c>
      <c r="CA22" s="88">
        <f t="shared" si="15"/>
        <v>172000</v>
      </c>
      <c r="CB22" s="88">
        <f t="shared" si="83"/>
        <v>1720000</v>
      </c>
      <c r="CG22" s="110" t="s">
        <v>332</v>
      </c>
      <c r="CH22" s="88">
        <f t="shared" si="16"/>
        <v>100000</v>
      </c>
      <c r="CI22" s="88">
        <f t="shared" si="17"/>
        <v>88000</v>
      </c>
      <c r="CJ22" s="88">
        <f t="shared" si="84"/>
        <v>880000</v>
      </c>
      <c r="CO22" s="110" t="s">
        <v>332</v>
      </c>
      <c r="CP22" s="88">
        <f t="shared" si="18"/>
        <v>1000000</v>
      </c>
      <c r="CQ22" s="88">
        <f t="shared" si="19"/>
        <v>350000</v>
      </c>
      <c r="CR22" s="88">
        <f t="shared" si="85"/>
        <v>3500000</v>
      </c>
      <c r="CW22" s="110" t="s">
        <v>332</v>
      </c>
      <c r="CX22" s="88">
        <f t="shared" si="20"/>
        <v>50000</v>
      </c>
      <c r="CY22" s="88">
        <f t="shared" si="21"/>
        <v>46000</v>
      </c>
      <c r="CZ22" s="88">
        <f t="shared" si="86"/>
        <v>460000</v>
      </c>
      <c r="DE22" s="110" t="s">
        <v>332</v>
      </c>
      <c r="DF22" s="88">
        <f t="shared" si="22"/>
        <v>60000</v>
      </c>
      <c r="DG22" s="88">
        <f t="shared" si="23"/>
        <v>96000</v>
      </c>
      <c r="DH22" s="88">
        <f t="shared" si="87"/>
        <v>960000</v>
      </c>
      <c r="DM22" s="110" t="s">
        <v>332</v>
      </c>
      <c r="DN22" s="88">
        <f t="shared" si="24"/>
        <v>100000</v>
      </c>
      <c r="DO22" s="88">
        <f t="shared" si="25"/>
        <v>194000</v>
      </c>
      <c r="DP22" s="88">
        <f t="shared" si="88"/>
        <v>1940000</v>
      </c>
      <c r="DU22" s="110" t="s">
        <v>332</v>
      </c>
      <c r="DV22" s="88">
        <f t="shared" si="26"/>
        <v>150000</v>
      </c>
      <c r="DW22" s="88">
        <f t="shared" si="27"/>
        <v>300000</v>
      </c>
      <c r="DX22" s="88">
        <f t="shared" si="89"/>
        <v>3000000</v>
      </c>
      <c r="EC22" s="110" t="s">
        <v>332</v>
      </c>
      <c r="ED22" s="88">
        <f t="shared" si="28"/>
        <v>200000</v>
      </c>
      <c r="EE22" s="88">
        <f t="shared" si="29"/>
        <v>388000</v>
      </c>
      <c r="EF22" s="88">
        <f t="shared" si="90"/>
        <v>3880000</v>
      </c>
      <c r="EK22" s="203" t="s">
        <v>332</v>
      </c>
      <c r="EL22" s="104">
        <f t="shared" si="30"/>
        <v>300000</v>
      </c>
      <c r="EM22" s="104">
        <f t="shared" si="31"/>
        <v>308000</v>
      </c>
      <c r="EN22" s="104">
        <f t="shared" si="91"/>
        <v>3080000</v>
      </c>
      <c r="ES22" s="110" t="s">
        <v>332</v>
      </c>
      <c r="ET22" s="88">
        <f t="shared" si="32"/>
        <v>90000</v>
      </c>
      <c r="EU22" s="88">
        <f t="shared" si="33"/>
        <v>147000</v>
      </c>
      <c r="EV22" s="88">
        <f t="shared" si="92"/>
        <v>1470000</v>
      </c>
      <c r="FA22" s="110" t="s">
        <v>332</v>
      </c>
      <c r="FB22" s="88">
        <f t="shared" si="34"/>
        <v>100000</v>
      </c>
      <c r="FC22" s="88">
        <f t="shared" si="35"/>
        <v>20000</v>
      </c>
      <c r="FD22" s="88">
        <f t="shared" si="93"/>
        <v>200000</v>
      </c>
      <c r="FI22" s="110" t="s">
        <v>332</v>
      </c>
      <c r="FJ22" s="88">
        <f t="shared" si="36"/>
        <v>40000</v>
      </c>
      <c r="FK22" s="88">
        <f t="shared" si="37"/>
        <v>15200</v>
      </c>
      <c r="FL22" s="88">
        <f t="shared" si="94"/>
        <v>152000</v>
      </c>
      <c r="FQ22" s="110" t="s">
        <v>332</v>
      </c>
      <c r="FR22" s="88">
        <f t="shared" si="38"/>
        <v>900000.0000000007</v>
      </c>
      <c r="FS22" s="88">
        <f t="shared" si="39"/>
        <v>289244.79999999999</v>
      </c>
      <c r="FT22" s="88">
        <f t="shared" si="95"/>
        <v>2892447.9999999995</v>
      </c>
      <c r="FY22" s="110" t="s">
        <v>332</v>
      </c>
      <c r="FZ22" s="88">
        <f t="shared" si="40"/>
        <v>50000</v>
      </c>
      <c r="GA22" s="88">
        <f t="shared" si="41"/>
        <v>95000</v>
      </c>
      <c r="GB22" s="88">
        <f t="shared" si="96"/>
        <v>950000</v>
      </c>
      <c r="GG22" s="110" t="s">
        <v>332</v>
      </c>
      <c r="GH22" s="88">
        <f t="shared" si="42"/>
        <v>100000</v>
      </c>
      <c r="GI22" s="88">
        <f t="shared" si="43"/>
        <v>290000</v>
      </c>
      <c r="GJ22" s="88">
        <f t="shared" si="97"/>
        <v>2900000</v>
      </c>
      <c r="GO22" s="110" t="s">
        <v>332</v>
      </c>
      <c r="GP22" s="88">
        <f t="shared" si="44"/>
        <v>800000</v>
      </c>
      <c r="GQ22" s="88">
        <f t="shared" si="45"/>
        <v>218400</v>
      </c>
      <c r="GR22" s="88">
        <f t="shared" si="98"/>
        <v>2184000</v>
      </c>
      <c r="GW22" s="110" t="s">
        <v>332</v>
      </c>
      <c r="GX22" s="88">
        <f t="shared" si="46"/>
        <v>80000</v>
      </c>
      <c r="GY22" s="88">
        <f t="shared" si="47"/>
        <v>145732</v>
      </c>
      <c r="GZ22" s="88">
        <f t="shared" si="99"/>
        <v>1457320</v>
      </c>
      <c r="HE22" s="110" t="s">
        <v>332</v>
      </c>
      <c r="HF22" s="88">
        <f t="shared" si="48"/>
        <v>100000</v>
      </c>
      <c r="HG22" s="88">
        <f t="shared" si="49"/>
        <v>130000</v>
      </c>
      <c r="HH22" s="88">
        <f t="shared" si="100"/>
        <v>1300000</v>
      </c>
      <c r="HM22" s="110" t="s">
        <v>332</v>
      </c>
      <c r="HN22" s="88">
        <f t="shared" si="50"/>
        <v>100000</v>
      </c>
      <c r="HO22" s="88">
        <f t="shared" si="51"/>
        <v>130000</v>
      </c>
      <c r="HP22" s="88">
        <f t="shared" si="101"/>
        <v>1300000</v>
      </c>
      <c r="HU22" s="110" t="s">
        <v>332</v>
      </c>
      <c r="HV22" s="88">
        <f t="shared" si="52"/>
        <v>100000</v>
      </c>
      <c r="HW22" s="88">
        <f t="shared" si="53"/>
        <v>130000</v>
      </c>
      <c r="HX22" s="88">
        <f t="shared" si="102"/>
        <v>1300000</v>
      </c>
      <c r="IC22" s="110" t="s">
        <v>332</v>
      </c>
      <c r="ID22" s="88">
        <f t="shared" si="54"/>
        <v>10000</v>
      </c>
      <c r="IE22" s="88">
        <f t="shared" si="55"/>
        <v>6000</v>
      </c>
      <c r="IF22" s="88">
        <f t="shared" si="103"/>
        <v>60000</v>
      </c>
      <c r="IK22" s="110" t="s">
        <v>332</v>
      </c>
      <c r="IL22" s="88">
        <f t="shared" si="56"/>
        <v>5000</v>
      </c>
      <c r="IM22" s="88">
        <f t="shared" si="57"/>
        <v>4000</v>
      </c>
      <c r="IN22" s="88">
        <f t="shared" si="104"/>
        <v>40000</v>
      </c>
      <c r="IS22" s="110" t="s">
        <v>332</v>
      </c>
      <c r="IT22" s="88">
        <f t="shared" si="58"/>
        <v>100000</v>
      </c>
      <c r="IU22" s="88">
        <f t="shared" si="59"/>
        <v>228000</v>
      </c>
      <c r="IV22" s="88">
        <f t="shared" si="105"/>
        <v>2280000</v>
      </c>
      <c r="JA22" s="110" t="s">
        <v>332</v>
      </c>
      <c r="JB22" s="88">
        <f t="shared" si="60"/>
        <v>30000</v>
      </c>
      <c r="JC22" s="88">
        <f t="shared" si="61"/>
        <v>26500</v>
      </c>
      <c r="JD22" s="88">
        <f t="shared" si="106"/>
        <v>265000</v>
      </c>
      <c r="JI22" s="110" t="s">
        <v>332</v>
      </c>
      <c r="JJ22" s="88">
        <f t="shared" si="62"/>
        <v>1000000</v>
      </c>
      <c r="JK22" s="88">
        <f t="shared" si="63"/>
        <v>1900000</v>
      </c>
      <c r="JL22" s="88">
        <f t="shared" si="107"/>
        <v>19000000</v>
      </c>
      <c r="JQ22" s="30"/>
      <c r="JR22" s="31"/>
      <c r="JS22" s="31"/>
      <c r="JT22" s="31"/>
      <c r="JY22" s="30"/>
      <c r="JZ22" s="31"/>
      <c r="KA22" s="31"/>
      <c r="KB22" s="31"/>
      <c r="KG22" s="30"/>
      <c r="KH22" s="31"/>
      <c r="KI22" s="31"/>
      <c r="KJ22" s="31"/>
      <c r="KO22" s="30"/>
      <c r="KP22" s="31"/>
      <c r="KQ22" s="31"/>
      <c r="KR22" s="31"/>
      <c r="KW22" s="30"/>
      <c r="KX22" s="31"/>
      <c r="KY22" s="31"/>
      <c r="KZ22" s="31"/>
    </row>
    <row r="23" spans="2:312" ht="15.75" x14ac:dyDescent="0.25">
      <c r="B23" s="15"/>
      <c r="C23" s="20"/>
      <c r="D23" s="20"/>
      <c r="E23" s="110" t="s">
        <v>332</v>
      </c>
      <c r="F23" s="88">
        <f>F22-G23</f>
        <v>2000000</v>
      </c>
      <c r="G23" s="88">
        <f t="shared" si="72"/>
        <v>720000</v>
      </c>
      <c r="H23" s="88">
        <f>H22+G23</f>
        <v>7200000</v>
      </c>
      <c r="I23" s="15"/>
      <c r="J23" s="15"/>
      <c r="K23" s="15"/>
    </row>
    <row r="24" spans="2:312" ht="15.75" x14ac:dyDescent="0.25">
      <c r="B24" s="15"/>
      <c r="C24" s="20"/>
      <c r="D24" s="20"/>
      <c r="E24" s="25"/>
      <c r="F24" s="20"/>
      <c r="G24" s="15"/>
      <c r="H24" s="15"/>
      <c r="I24" s="15"/>
      <c r="J24" s="15"/>
      <c r="K24" s="15"/>
    </row>
    <row r="25" spans="2:312" ht="15.75" x14ac:dyDescent="0.25">
      <c r="B25" s="15"/>
      <c r="C25" s="20"/>
      <c r="D25" s="20"/>
      <c r="E25" s="25"/>
      <c r="F25" s="20"/>
      <c r="G25" s="15"/>
      <c r="H25" s="15"/>
      <c r="I25" s="15"/>
      <c r="J25" s="15"/>
      <c r="K25" s="15"/>
    </row>
    <row r="26" spans="2:312" ht="15.75" x14ac:dyDescent="0.25">
      <c r="B26" s="93" t="s">
        <v>333</v>
      </c>
      <c r="C26" s="200" t="s">
        <v>334</v>
      </c>
      <c r="D26" s="200" t="s">
        <v>37</v>
      </c>
      <c r="E26" s="201" t="s">
        <v>38</v>
      </c>
      <c r="F26" s="200" t="s">
        <v>39</v>
      </c>
      <c r="G26" s="93" t="s">
        <v>40</v>
      </c>
      <c r="H26" s="93" t="s">
        <v>41</v>
      </c>
      <c r="I26" s="15"/>
      <c r="J26" s="15"/>
      <c r="K26" s="15"/>
    </row>
    <row r="27" spans="2:312" ht="15.75" x14ac:dyDescent="0.25">
      <c r="B27" s="198" t="s">
        <v>280</v>
      </c>
      <c r="C27" s="103" t="s">
        <v>335</v>
      </c>
      <c r="D27" s="199">
        <f>H14</f>
        <v>720000</v>
      </c>
      <c r="E27" s="199">
        <f>H15</f>
        <v>1440000</v>
      </c>
      <c r="F27" s="199">
        <f>H16</f>
        <v>2160000</v>
      </c>
      <c r="G27" s="199">
        <f>H17</f>
        <v>2880000</v>
      </c>
      <c r="H27" s="199">
        <f>H18</f>
        <v>3600000</v>
      </c>
      <c r="I27" s="15"/>
      <c r="J27" s="15"/>
      <c r="K27" s="15"/>
    </row>
    <row r="28" spans="2:312" ht="15.75" x14ac:dyDescent="0.25">
      <c r="B28" s="198" t="s">
        <v>280</v>
      </c>
      <c r="C28" s="103" t="s">
        <v>336</v>
      </c>
      <c r="D28" s="199">
        <v>170000</v>
      </c>
      <c r="E28" s="199">
        <f>P14</f>
        <v>340000</v>
      </c>
      <c r="F28" s="199">
        <f>P15</f>
        <v>510000</v>
      </c>
      <c r="G28" s="199">
        <f>P16</f>
        <v>680000</v>
      </c>
      <c r="H28" s="199">
        <f>P17</f>
        <v>850000</v>
      </c>
      <c r="I28" s="15"/>
      <c r="J28" s="15"/>
      <c r="K28" s="15"/>
    </row>
    <row r="29" spans="2:312" ht="15.75" x14ac:dyDescent="0.25">
      <c r="B29" s="198" t="s">
        <v>280</v>
      </c>
      <c r="C29" s="103" t="s">
        <v>337</v>
      </c>
      <c r="D29" s="199">
        <v>235000</v>
      </c>
      <c r="E29" s="199">
        <v>470000</v>
      </c>
      <c r="F29" s="199">
        <v>705000</v>
      </c>
      <c r="G29" s="199">
        <v>940000</v>
      </c>
      <c r="H29" s="199">
        <v>1175000</v>
      </c>
      <c r="I29" s="15"/>
      <c r="J29" s="15"/>
      <c r="K29" s="15"/>
    </row>
    <row r="30" spans="2:312" ht="15.75" x14ac:dyDescent="0.25">
      <c r="B30" s="198" t="s">
        <v>280</v>
      </c>
      <c r="C30" s="103" t="s">
        <v>338</v>
      </c>
      <c r="D30" s="199">
        <v>205000</v>
      </c>
      <c r="E30" s="199">
        <v>410000</v>
      </c>
      <c r="F30" s="199">
        <v>615000</v>
      </c>
      <c r="G30" s="199">
        <v>820000</v>
      </c>
      <c r="H30" s="199">
        <v>1025000</v>
      </c>
      <c r="I30" s="15"/>
      <c r="J30" s="15"/>
      <c r="K30" s="15"/>
    </row>
    <row r="31" spans="2:312" ht="15.75" x14ac:dyDescent="0.25">
      <c r="B31" s="198" t="s">
        <v>280</v>
      </c>
      <c r="C31" s="103" t="s">
        <v>339</v>
      </c>
      <c r="D31" s="199">
        <v>205000</v>
      </c>
      <c r="E31" s="199">
        <v>410000</v>
      </c>
      <c r="F31" s="199">
        <v>615000</v>
      </c>
      <c r="G31" s="199">
        <v>820000</v>
      </c>
      <c r="H31" s="199">
        <v>1025000</v>
      </c>
      <c r="I31" s="15"/>
      <c r="J31" s="15"/>
      <c r="K31" s="15"/>
    </row>
    <row r="32" spans="2:312" ht="15.75" x14ac:dyDescent="0.25">
      <c r="B32" s="198" t="s">
        <v>280</v>
      </c>
      <c r="C32" s="103" t="s">
        <v>340</v>
      </c>
      <c r="D32" s="199">
        <v>280000</v>
      </c>
      <c r="E32" s="199">
        <v>560000</v>
      </c>
      <c r="F32" s="199">
        <v>840000</v>
      </c>
      <c r="G32" s="199">
        <v>1200000</v>
      </c>
      <c r="H32" s="199">
        <v>1400000</v>
      </c>
      <c r="I32" s="15"/>
      <c r="J32" s="15"/>
      <c r="K32" s="15"/>
    </row>
    <row r="33" spans="2:11" ht="15.75" x14ac:dyDescent="0.25">
      <c r="B33" s="198" t="s">
        <v>280</v>
      </c>
      <c r="C33" s="103" t="s">
        <v>341</v>
      </c>
      <c r="D33" s="199">
        <v>310000</v>
      </c>
      <c r="E33" s="199">
        <v>620000</v>
      </c>
      <c r="F33" s="199">
        <v>930000</v>
      </c>
      <c r="G33" s="199">
        <v>1240000</v>
      </c>
      <c r="H33" s="199">
        <v>1550000</v>
      </c>
      <c r="I33" s="15"/>
      <c r="J33" s="15"/>
      <c r="K33" s="15"/>
    </row>
    <row r="34" spans="2:11" ht="15.75" x14ac:dyDescent="0.25">
      <c r="B34" s="198" t="s">
        <v>280</v>
      </c>
      <c r="C34" s="103" t="s">
        <v>342</v>
      </c>
      <c r="D34" s="199">
        <v>22000</v>
      </c>
      <c r="E34" s="199">
        <v>44000</v>
      </c>
      <c r="F34" s="199">
        <v>66000</v>
      </c>
      <c r="G34" s="199">
        <v>88000</v>
      </c>
      <c r="H34" s="199">
        <v>110000</v>
      </c>
      <c r="I34" s="15"/>
      <c r="J34" s="15"/>
      <c r="K34" s="15"/>
    </row>
    <row r="35" spans="2:11" ht="15.75" x14ac:dyDescent="0.25">
      <c r="B35" s="198" t="s">
        <v>280</v>
      </c>
      <c r="C35" s="103" t="s">
        <v>343</v>
      </c>
      <c r="D35" s="199">
        <v>133500</v>
      </c>
      <c r="E35" s="199">
        <v>267000</v>
      </c>
      <c r="F35" s="199">
        <v>400500</v>
      </c>
      <c r="G35" s="199">
        <v>534000</v>
      </c>
      <c r="H35" s="199">
        <v>667500</v>
      </c>
      <c r="I35" s="15"/>
      <c r="J35" s="15"/>
      <c r="K35" s="15"/>
    </row>
    <row r="36" spans="2:11" ht="15.75" x14ac:dyDescent="0.25">
      <c r="B36" s="198" t="s">
        <v>280</v>
      </c>
      <c r="C36" s="103" t="s">
        <v>344</v>
      </c>
      <c r="D36" s="199">
        <v>172000</v>
      </c>
      <c r="E36" s="199">
        <v>344000</v>
      </c>
      <c r="F36" s="199">
        <v>516000</v>
      </c>
      <c r="G36" s="199">
        <v>688000</v>
      </c>
      <c r="H36" s="199">
        <v>860000</v>
      </c>
      <c r="I36" s="15"/>
      <c r="J36" s="15"/>
      <c r="K36" s="15"/>
    </row>
    <row r="37" spans="2:11" ht="15.75" x14ac:dyDescent="0.25">
      <c r="B37" s="198" t="s">
        <v>280</v>
      </c>
      <c r="C37" s="103" t="s">
        <v>345</v>
      </c>
      <c r="D37" s="199">
        <v>88000</v>
      </c>
      <c r="E37" s="199">
        <v>176000</v>
      </c>
      <c r="F37" s="199">
        <v>264000</v>
      </c>
      <c r="G37" s="199">
        <v>352000</v>
      </c>
      <c r="H37" s="199">
        <v>440000</v>
      </c>
      <c r="I37" s="15"/>
      <c r="J37" s="15"/>
      <c r="K37" s="15"/>
    </row>
    <row r="38" spans="2:11" ht="15.75" x14ac:dyDescent="0.25">
      <c r="B38" s="198" t="s">
        <v>280</v>
      </c>
      <c r="C38" s="103" t="s">
        <v>346</v>
      </c>
      <c r="D38" s="199">
        <v>350000</v>
      </c>
      <c r="E38" s="199">
        <v>700000</v>
      </c>
      <c r="F38" s="199">
        <v>1050000</v>
      </c>
      <c r="G38" s="199">
        <v>1400000</v>
      </c>
      <c r="H38" s="199">
        <v>1750000</v>
      </c>
      <c r="I38" s="15"/>
      <c r="J38" s="15"/>
      <c r="K38" s="15"/>
    </row>
    <row r="39" spans="2:11" ht="15.75" x14ac:dyDescent="0.25">
      <c r="B39" s="198" t="s">
        <v>280</v>
      </c>
      <c r="C39" s="103" t="s">
        <v>347</v>
      </c>
      <c r="D39" s="199">
        <v>46000</v>
      </c>
      <c r="E39" s="199">
        <v>92000</v>
      </c>
      <c r="F39" s="199">
        <v>138000</v>
      </c>
      <c r="G39" s="199">
        <v>184000</v>
      </c>
      <c r="H39" s="199">
        <v>230000</v>
      </c>
      <c r="I39" s="15"/>
      <c r="J39" s="15"/>
      <c r="K39" s="15"/>
    </row>
    <row r="40" spans="2:11" ht="15.75" x14ac:dyDescent="0.25">
      <c r="B40" s="198" t="s">
        <v>280</v>
      </c>
      <c r="C40" s="103" t="s">
        <v>348</v>
      </c>
      <c r="D40" s="199">
        <v>96000</v>
      </c>
      <c r="E40" s="199">
        <v>192000</v>
      </c>
      <c r="F40" s="199">
        <v>288000</v>
      </c>
      <c r="G40" s="199">
        <v>384000</v>
      </c>
      <c r="H40" s="199">
        <v>480000</v>
      </c>
    </row>
    <row r="41" spans="2:11" ht="15.75" x14ac:dyDescent="0.25">
      <c r="B41" s="198" t="s">
        <v>280</v>
      </c>
      <c r="C41" s="103" t="s">
        <v>349</v>
      </c>
      <c r="D41" s="199">
        <v>194000</v>
      </c>
      <c r="E41" s="199">
        <v>388000</v>
      </c>
      <c r="F41" s="199">
        <v>582000</v>
      </c>
      <c r="G41" s="199">
        <v>776000</v>
      </c>
      <c r="H41" s="199">
        <v>970000</v>
      </c>
    </row>
    <row r="42" spans="2:11" ht="15.75" x14ac:dyDescent="0.25">
      <c r="B42" s="198" t="s">
        <v>280</v>
      </c>
      <c r="C42" s="103" t="s">
        <v>350</v>
      </c>
      <c r="D42" s="199">
        <v>300000</v>
      </c>
      <c r="E42" s="199">
        <v>600000</v>
      </c>
      <c r="F42" s="199">
        <v>900000</v>
      </c>
      <c r="G42" s="199">
        <v>1200000</v>
      </c>
      <c r="H42" s="199">
        <v>1500000</v>
      </c>
    </row>
    <row r="43" spans="2:11" ht="15.75" x14ac:dyDescent="0.25">
      <c r="B43" s="198" t="s">
        <v>280</v>
      </c>
      <c r="C43" s="103" t="s">
        <v>351</v>
      </c>
      <c r="D43" s="199">
        <v>388000</v>
      </c>
      <c r="E43" s="199">
        <v>776000</v>
      </c>
      <c r="F43" s="199">
        <v>1164000</v>
      </c>
      <c r="G43" s="199">
        <v>1552000</v>
      </c>
      <c r="H43" s="199">
        <v>1940000</v>
      </c>
    </row>
    <row r="44" spans="2:11" ht="15.75" x14ac:dyDescent="0.25">
      <c r="B44" s="198" t="s">
        <v>280</v>
      </c>
      <c r="C44" s="103" t="s">
        <v>352</v>
      </c>
      <c r="D44" s="199">
        <v>308000</v>
      </c>
      <c r="E44" s="199">
        <v>616000</v>
      </c>
      <c r="F44" s="199">
        <v>924000</v>
      </c>
      <c r="G44" s="199">
        <v>1232000</v>
      </c>
      <c r="H44" s="199">
        <v>1540000</v>
      </c>
    </row>
    <row r="45" spans="2:11" ht="15.75" x14ac:dyDescent="0.25">
      <c r="B45" s="198" t="s">
        <v>280</v>
      </c>
      <c r="C45" s="103" t="s">
        <v>353</v>
      </c>
      <c r="D45" s="199">
        <v>147000</v>
      </c>
      <c r="E45" s="199">
        <v>294000</v>
      </c>
      <c r="F45" s="199">
        <v>441000</v>
      </c>
      <c r="G45" s="199">
        <v>588000</v>
      </c>
      <c r="H45" s="199">
        <v>735000</v>
      </c>
    </row>
    <row r="46" spans="2:11" ht="15.75" x14ac:dyDescent="0.25">
      <c r="B46" s="198" t="s">
        <v>280</v>
      </c>
      <c r="C46" s="103" t="s">
        <v>354</v>
      </c>
      <c r="D46" s="199">
        <v>20000</v>
      </c>
      <c r="E46" s="199">
        <v>40000</v>
      </c>
      <c r="F46" s="199">
        <v>60000</v>
      </c>
      <c r="G46" s="199">
        <v>80000</v>
      </c>
      <c r="H46" s="199">
        <v>100000</v>
      </c>
    </row>
    <row r="47" spans="2:11" ht="15.75" x14ac:dyDescent="0.25">
      <c r="B47" s="198" t="s">
        <v>280</v>
      </c>
      <c r="C47" s="103" t="s">
        <v>355</v>
      </c>
      <c r="D47" s="199">
        <v>15200</v>
      </c>
      <c r="E47" s="199">
        <v>30400</v>
      </c>
      <c r="F47" s="199">
        <v>45600</v>
      </c>
      <c r="G47" s="199">
        <v>60800</v>
      </c>
      <c r="H47" s="199">
        <v>76000</v>
      </c>
    </row>
    <row r="48" spans="2:11" ht="15.75" x14ac:dyDescent="0.25">
      <c r="B48" s="198" t="s">
        <v>280</v>
      </c>
      <c r="C48" s="103" t="s">
        <v>356</v>
      </c>
      <c r="D48" s="199">
        <v>289245</v>
      </c>
      <c r="E48" s="199">
        <v>578490</v>
      </c>
      <c r="F48" s="199">
        <v>867734</v>
      </c>
      <c r="G48" s="199">
        <v>1156979</v>
      </c>
      <c r="H48" s="199">
        <v>1446224</v>
      </c>
    </row>
    <row r="49" spans="2:8" ht="15.75" x14ac:dyDescent="0.25">
      <c r="B49" s="198" t="s">
        <v>280</v>
      </c>
      <c r="C49" s="103" t="s">
        <v>357</v>
      </c>
      <c r="D49" s="199">
        <v>95000</v>
      </c>
      <c r="E49" s="199">
        <v>190000</v>
      </c>
      <c r="F49" s="199">
        <v>285000</v>
      </c>
      <c r="G49" s="199">
        <v>380000</v>
      </c>
      <c r="H49" s="199">
        <v>475000</v>
      </c>
    </row>
    <row r="50" spans="2:8" ht="15.75" x14ac:dyDescent="0.25">
      <c r="B50" s="198" t="s">
        <v>280</v>
      </c>
      <c r="C50" s="103" t="s">
        <v>358</v>
      </c>
      <c r="D50" s="199">
        <v>290000</v>
      </c>
      <c r="E50" s="199">
        <v>580000</v>
      </c>
      <c r="F50" s="199">
        <v>870000</v>
      </c>
      <c r="G50" s="199">
        <v>1160000</v>
      </c>
      <c r="H50" s="199">
        <v>1450000</v>
      </c>
    </row>
    <row r="51" spans="2:8" ht="15.75" x14ac:dyDescent="0.25">
      <c r="B51" s="198" t="s">
        <v>280</v>
      </c>
      <c r="C51" s="103" t="s">
        <v>359</v>
      </c>
      <c r="D51" s="199">
        <v>218400</v>
      </c>
      <c r="E51" s="199">
        <v>436800</v>
      </c>
      <c r="F51" s="199">
        <v>655200</v>
      </c>
      <c r="G51" s="199">
        <v>873600</v>
      </c>
      <c r="H51" s="199">
        <v>1092000</v>
      </c>
    </row>
    <row r="52" spans="2:8" ht="15.75" x14ac:dyDescent="0.25">
      <c r="B52" s="198" t="s">
        <v>280</v>
      </c>
      <c r="C52" s="103" t="s">
        <v>360</v>
      </c>
      <c r="D52" s="199">
        <v>145732</v>
      </c>
      <c r="E52" s="199">
        <v>291464</v>
      </c>
      <c r="F52" s="199">
        <v>437196</v>
      </c>
      <c r="G52" s="199">
        <v>582928</v>
      </c>
      <c r="H52" s="199">
        <v>728660</v>
      </c>
    </row>
    <row r="53" spans="2:8" ht="15.75" x14ac:dyDescent="0.25">
      <c r="B53" s="198" t="s">
        <v>280</v>
      </c>
      <c r="C53" s="103" t="s">
        <v>361</v>
      </c>
      <c r="D53" s="199">
        <v>130000</v>
      </c>
      <c r="E53" s="199">
        <v>260000</v>
      </c>
      <c r="F53" s="199">
        <v>390000</v>
      </c>
      <c r="G53" s="199">
        <v>520000</v>
      </c>
      <c r="H53" s="199">
        <v>650000</v>
      </c>
    </row>
    <row r="54" spans="2:8" ht="15.75" x14ac:dyDescent="0.25">
      <c r="B54" s="198" t="s">
        <v>280</v>
      </c>
      <c r="C54" s="103" t="s">
        <v>362</v>
      </c>
      <c r="D54" s="199">
        <v>130000</v>
      </c>
      <c r="E54" s="199">
        <v>260000</v>
      </c>
      <c r="F54" s="199">
        <v>390000</v>
      </c>
      <c r="G54" s="199">
        <v>520000</v>
      </c>
      <c r="H54" s="199">
        <v>650000</v>
      </c>
    </row>
    <row r="55" spans="2:8" ht="15.75" x14ac:dyDescent="0.25">
      <c r="B55" s="198" t="s">
        <v>280</v>
      </c>
      <c r="C55" s="103" t="s">
        <v>363</v>
      </c>
      <c r="D55" s="199">
        <v>130000</v>
      </c>
      <c r="E55" s="199">
        <v>260000</v>
      </c>
      <c r="F55" s="199">
        <v>390000</v>
      </c>
      <c r="G55" s="199">
        <v>520000</v>
      </c>
      <c r="H55" s="199">
        <v>650000</v>
      </c>
    </row>
    <row r="56" spans="2:8" ht="15.75" x14ac:dyDescent="0.25">
      <c r="B56" s="198" t="s">
        <v>280</v>
      </c>
      <c r="C56" s="103" t="s">
        <v>364</v>
      </c>
      <c r="D56" s="199">
        <v>6000</v>
      </c>
      <c r="E56" s="199">
        <v>12000</v>
      </c>
      <c r="F56" s="199">
        <v>18000</v>
      </c>
      <c r="G56" s="199">
        <v>24000</v>
      </c>
      <c r="H56" s="199">
        <v>30000</v>
      </c>
    </row>
    <row r="57" spans="2:8" ht="15.75" x14ac:dyDescent="0.25">
      <c r="B57" s="198" t="s">
        <v>280</v>
      </c>
      <c r="C57" s="103" t="s">
        <v>365</v>
      </c>
      <c r="D57" s="199">
        <v>4000</v>
      </c>
      <c r="E57" s="199">
        <v>8000</v>
      </c>
      <c r="F57" s="199">
        <v>12000</v>
      </c>
      <c r="G57" s="199">
        <v>16000</v>
      </c>
      <c r="H57" s="199">
        <v>20000</v>
      </c>
    </row>
    <row r="58" spans="2:8" ht="15.75" x14ac:dyDescent="0.25">
      <c r="B58" s="198" t="s">
        <v>280</v>
      </c>
      <c r="C58" s="103" t="s">
        <v>366</v>
      </c>
      <c r="D58" s="199">
        <v>228000</v>
      </c>
      <c r="E58" s="199">
        <v>456000</v>
      </c>
      <c r="F58" s="199">
        <v>684000</v>
      </c>
      <c r="G58" s="199">
        <v>912000</v>
      </c>
      <c r="H58" s="199">
        <v>1140000</v>
      </c>
    </row>
    <row r="59" spans="2:8" ht="15.75" x14ac:dyDescent="0.25">
      <c r="B59" s="198" t="s">
        <v>280</v>
      </c>
      <c r="C59" s="103" t="s">
        <v>367</v>
      </c>
      <c r="D59" s="199">
        <v>26500</v>
      </c>
      <c r="E59" s="199">
        <v>53000</v>
      </c>
      <c r="F59" s="199">
        <v>79500</v>
      </c>
      <c r="G59" s="199">
        <v>106000</v>
      </c>
      <c r="H59" s="199">
        <v>132500</v>
      </c>
    </row>
    <row r="60" spans="2:8" ht="15.75" x14ac:dyDescent="0.25">
      <c r="B60" s="198" t="s">
        <v>368</v>
      </c>
      <c r="C60" s="103" t="s">
        <v>369</v>
      </c>
      <c r="D60" s="199">
        <v>1900000</v>
      </c>
      <c r="E60" s="199">
        <v>3800000</v>
      </c>
      <c r="F60" s="199">
        <v>5700000</v>
      </c>
      <c r="G60" s="199">
        <v>7600000</v>
      </c>
      <c r="H60" s="199">
        <v>9500000</v>
      </c>
    </row>
    <row r="61" spans="2:8" ht="15.75" x14ac:dyDescent="0.25">
      <c r="B61" s="101" t="s">
        <v>281</v>
      </c>
      <c r="C61" s="103" t="s">
        <v>370</v>
      </c>
      <c r="D61" s="199">
        <v>5150</v>
      </c>
      <c r="E61" s="199">
        <v>10300</v>
      </c>
      <c r="F61" s="199">
        <v>15450</v>
      </c>
      <c r="G61" s="199">
        <v>20600</v>
      </c>
      <c r="H61" s="199">
        <v>25750</v>
      </c>
    </row>
    <row r="62" spans="2:8" ht="15.75" x14ac:dyDescent="0.25">
      <c r="B62" s="101" t="s">
        <v>281</v>
      </c>
      <c r="C62" s="103" t="s">
        <v>371</v>
      </c>
      <c r="D62" s="199">
        <v>26650</v>
      </c>
      <c r="E62" s="199">
        <v>53300</v>
      </c>
      <c r="F62" s="199">
        <v>79950</v>
      </c>
      <c r="G62" s="199">
        <v>106600</v>
      </c>
      <c r="H62" s="199">
        <v>133250</v>
      </c>
    </row>
    <row r="63" spans="2:8" ht="15.75" x14ac:dyDescent="0.25">
      <c r="B63" s="101" t="s">
        <v>282</v>
      </c>
      <c r="C63" s="103" t="s">
        <v>372</v>
      </c>
      <c r="D63" s="199">
        <v>359800</v>
      </c>
      <c r="E63" s="199">
        <v>719600</v>
      </c>
      <c r="F63" s="199">
        <v>1079400</v>
      </c>
      <c r="G63" s="199">
        <v>1439200</v>
      </c>
      <c r="H63" s="199">
        <v>1799000</v>
      </c>
    </row>
    <row r="64" spans="2:8" ht="15.75" x14ac:dyDescent="0.25">
      <c r="B64" s="101" t="s">
        <v>282</v>
      </c>
      <c r="C64" s="103" t="s">
        <v>373</v>
      </c>
      <c r="D64" s="199">
        <v>17980</v>
      </c>
      <c r="E64" s="199">
        <v>35960</v>
      </c>
      <c r="F64" s="199">
        <v>53940</v>
      </c>
      <c r="G64" s="199">
        <v>71920</v>
      </c>
      <c r="H64" s="199">
        <v>89900</v>
      </c>
    </row>
    <row r="65" spans="2:8" ht="15.75" x14ac:dyDescent="0.25">
      <c r="B65" s="96"/>
      <c r="C65" s="180" t="s">
        <v>374</v>
      </c>
      <c r="D65" s="202">
        <f>SUM(D27:D64)</f>
        <v>8407157</v>
      </c>
      <c r="E65" s="202">
        <f>SUM(E27:E64)</f>
        <v>16814314</v>
      </c>
      <c r="F65" s="202">
        <f>SUM(F27:F64)</f>
        <v>25221470</v>
      </c>
      <c r="G65" s="202">
        <f>SUM(G27:G64)</f>
        <v>33708627</v>
      </c>
      <c r="H65" s="202">
        <f>SUM(H27:H64)</f>
        <v>42035784</v>
      </c>
    </row>
    <row r="66" spans="2:8" ht="15.75" x14ac:dyDescent="0.25">
      <c r="B66" s="15"/>
      <c r="C66" s="32"/>
      <c r="D66" s="32"/>
      <c r="E66" s="30"/>
      <c r="F66" s="32"/>
      <c r="G66" s="15"/>
      <c r="H66" s="15"/>
    </row>
    <row r="67" spans="2:8" ht="15.75" x14ac:dyDescent="0.25">
      <c r="B67" s="15"/>
      <c r="C67" s="32"/>
      <c r="D67" s="32"/>
      <c r="E67" s="30"/>
      <c r="F67" s="32"/>
      <c r="G67" s="15"/>
      <c r="H67" s="15"/>
    </row>
    <row r="68" spans="2:8" ht="15.75" x14ac:dyDescent="0.25">
      <c r="B68" s="15"/>
      <c r="C68" s="32"/>
      <c r="D68" s="32"/>
      <c r="E68" s="30"/>
      <c r="F68" s="32"/>
      <c r="G68" s="15"/>
      <c r="H68" s="15"/>
    </row>
    <row r="69" spans="2:8" ht="15.75" x14ac:dyDescent="0.25">
      <c r="B69" s="15"/>
      <c r="C69" s="32"/>
      <c r="D69" s="32"/>
      <c r="E69" s="30"/>
      <c r="F69" s="32"/>
      <c r="G69" s="15"/>
      <c r="H69" s="15"/>
    </row>
    <row r="70" spans="2:8" ht="15.75" x14ac:dyDescent="0.25">
      <c r="B70" s="15"/>
      <c r="C70" s="32"/>
      <c r="D70" s="32"/>
      <c r="E70" s="30"/>
      <c r="F70" s="32"/>
      <c r="G70" s="15"/>
      <c r="H70" s="15"/>
    </row>
    <row r="71" spans="2:8" ht="15.75" x14ac:dyDescent="0.25">
      <c r="B71" s="15"/>
      <c r="C71" s="32"/>
      <c r="D71" s="32"/>
      <c r="E71" s="30"/>
      <c r="F71" s="32"/>
      <c r="G71" s="15"/>
      <c r="H71" s="15"/>
    </row>
    <row r="72" spans="2:8" ht="15.75" x14ac:dyDescent="0.25">
      <c r="B72" s="15"/>
      <c r="C72" s="32"/>
      <c r="D72" s="32"/>
      <c r="E72" s="30"/>
      <c r="F72" s="32"/>
      <c r="G72" s="15"/>
      <c r="H72" s="15"/>
    </row>
    <row r="73" spans="2:8" ht="15.75" x14ac:dyDescent="0.25">
      <c r="B73" s="15"/>
      <c r="C73" s="32"/>
      <c r="D73" s="32"/>
      <c r="E73" s="30"/>
      <c r="F73" s="32"/>
      <c r="G73" s="15"/>
      <c r="H73" s="15"/>
    </row>
    <row r="74" spans="2:8" ht="15.75" x14ac:dyDescent="0.25">
      <c r="B74" s="15"/>
      <c r="C74" s="32"/>
      <c r="D74" s="32"/>
      <c r="E74" s="30"/>
      <c r="F74" s="32"/>
      <c r="G74" s="15"/>
      <c r="H74" s="15"/>
    </row>
    <row r="75" spans="2:8" ht="15.75" x14ac:dyDescent="0.25">
      <c r="B75" s="15"/>
      <c r="C75" s="32"/>
      <c r="D75" s="32"/>
      <c r="E75" s="30"/>
      <c r="F75" s="32"/>
      <c r="G75" s="15"/>
      <c r="H75" s="15"/>
    </row>
    <row r="76" spans="2:8" ht="15.75" x14ac:dyDescent="0.25">
      <c r="B76" s="15"/>
      <c r="C76" s="32"/>
      <c r="D76" s="32"/>
      <c r="E76" s="30"/>
      <c r="F76" s="32"/>
      <c r="G76" s="15"/>
      <c r="H76" s="15"/>
    </row>
    <row r="77" spans="2:8" ht="15.75" x14ac:dyDescent="0.25">
      <c r="B77" s="15"/>
      <c r="C77" s="32"/>
      <c r="D77" s="32"/>
      <c r="E77" s="30"/>
      <c r="F77" s="32"/>
      <c r="G77" s="15"/>
      <c r="H77" s="15"/>
    </row>
    <row r="78" spans="2:8" ht="15.75" x14ac:dyDescent="0.25">
      <c r="B78" s="15"/>
      <c r="C78" s="32"/>
      <c r="D78" s="32"/>
      <c r="E78" s="30"/>
      <c r="F78" s="32"/>
      <c r="G78" s="15"/>
      <c r="H78" s="15"/>
    </row>
    <row r="79" spans="2:8" ht="15.75" x14ac:dyDescent="0.25">
      <c r="B79" s="15"/>
      <c r="C79" s="32"/>
      <c r="D79" s="32"/>
      <c r="E79" s="30"/>
      <c r="F79" s="32"/>
      <c r="G79" s="15"/>
      <c r="H79" s="15"/>
    </row>
    <row r="80" spans="2:8" ht="15.75" x14ac:dyDescent="0.25">
      <c r="B80" s="15"/>
      <c r="C80" s="32"/>
      <c r="D80" s="32"/>
      <c r="E80" s="30"/>
      <c r="F80" s="32"/>
      <c r="G80" s="15"/>
      <c r="H80" s="15"/>
    </row>
    <row r="81" spans="2:8" ht="15.75" x14ac:dyDescent="0.25">
      <c r="B81" s="15"/>
      <c r="C81" s="32"/>
      <c r="D81" s="32"/>
      <c r="E81" s="30"/>
      <c r="F81" s="32"/>
      <c r="G81" s="15"/>
      <c r="H81" s="15"/>
    </row>
    <row r="82" spans="2:8" ht="15.75" x14ac:dyDescent="0.25">
      <c r="B82" s="15"/>
      <c r="C82" s="32"/>
      <c r="D82" s="32"/>
      <c r="E82" s="30"/>
      <c r="F82" s="32"/>
      <c r="G82" s="15"/>
      <c r="H82" s="15"/>
    </row>
    <row r="83" spans="2:8" ht="15.75" x14ac:dyDescent="0.25">
      <c r="B83" s="15"/>
      <c r="C83" s="32"/>
      <c r="D83" s="32"/>
      <c r="E83" s="30"/>
      <c r="F83" s="32"/>
      <c r="G83" s="15"/>
      <c r="H83" s="15"/>
    </row>
    <row r="84" spans="2:8" ht="15.75" x14ac:dyDescent="0.25">
      <c r="B84" s="15"/>
      <c r="C84" s="32"/>
      <c r="D84" s="32"/>
      <c r="E84" s="30"/>
      <c r="F84" s="32"/>
      <c r="G84" s="15"/>
      <c r="H84" s="15"/>
    </row>
    <row r="85" spans="2:8" ht="15.75" x14ac:dyDescent="0.25">
      <c r="B85" s="15"/>
      <c r="C85" s="32"/>
      <c r="D85" s="32"/>
      <c r="E85" s="30"/>
      <c r="F85" s="32"/>
      <c r="G85" s="15"/>
      <c r="H85" s="15"/>
    </row>
    <row r="86" spans="2:8" ht="15.75" x14ac:dyDescent="0.25">
      <c r="B86" s="15"/>
      <c r="C86" s="32"/>
      <c r="D86" s="32"/>
      <c r="E86" s="30"/>
      <c r="F86" s="32"/>
      <c r="G86" s="15"/>
      <c r="H86" s="15"/>
    </row>
    <row r="87" spans="2:8" ht="15.75" x14ac:dyDescent="0.25">
      <c r="B87" s="15"/>
      <c r="C87" s="32"/>
      <c r="D87" s="32"/>
      <c r="E87" s="30"/>
      <c r="F87" s="32"/>
      <c r="G87" s="15"/>
      <c r="H87" s="15"/>
    </row>
    <row r="88" spans="2:8" ht="15.75" x14ac:dyDescent="0.25">
      <c r="B88" s="15"/>
      <c r="C88" s="32"/>
      <c r="D88" s="32"/>
      <c r="E88" s="30"/>
      <c r="F88" s="32"/>
      <c r="G88" s="15"/>
      <c r="H88" s="15"/>
    </row>
    <row r="89" spans="2:8" ht="15.75" x14ac:dyDescent="0.25">
      <c r="B89" s="15"/>
      <c r="C89" s="20"/>
      <c r="D89" s="20"/>
      <c r="E89" s="25"/>
      <c r="F89" s="20"/>
      <c r="G89" s="15"/>
      <c r="H89" s="15"/>
    </row>
  </sheetData>
  <mergeCells count="39">
    <mergeCell ref="B13:C13"/>
    <mergeCell ref="J12:K12"/>
    <mergeCell ref="R12:S12"/>
    <mergeCell ref="Z12:AA12"/>
    <mergeCell ref="AH12:AI12"/>
    <mergeCell ref="AP12:AQ12"/>
    <mergeCell ref="AX12:AY12"/>
    <mergeCell ref="BF12:BG12"/>
    <mergeCell ref="BN12:BO12"/>
    <mergeCell ref="BV12:BW12"/>
    <mergeCell ref="CD12:CE12"/>
    <mergeCell ref="CL12:CM12"/>
    <mergeCell ref="CT12:CU12"/>
    <mergeCell ref="DB12:DC12"/>
    <mergeCell ref="DJ12:DK12"/>
    <mergeCell ref="DR12:DS12"/>
    <mergeCell ref="DZ12:EA12"/>
    <mergeCell ref="EH12:EI12"/>
    <mergeCell ref="EP12:EQ12"/>
    <mergeCell ref="EX12:EY12"/>
    <mergeCell ref="GT12:GU12"/>
    <mergeCell ref="HB12:HC12"/>
    <mergeCell ref="HJ12:HK12"/>
    <mergeCell ref="HR12:HS12"/>
    <mergeCell ref="FF12:FG12"/>
    <mergeCell ref="FN12:FO12"/>
    <mergeCell ref="FV12:FW12"/>
    <mergeCell ref="GD12:GE12"/>
    <mergeCell ref="GL12:GM12"/>
    <mergeCell ref="HZ12:IA12"/>
    <mergeCell ref="IH12:II12"/>
    <mergeCell ref="IP12:IQ12"/>
    <mergeCell ref="IX12:IY12"/>
    <mergeCell ref="JF12:JG12"/>
    <mergeCell ref="JN12:JO12"/>
    <mergeCell ref="JV12:JW12"/>
    <mergeCell ref="KD12:KE12"/>
    <mergeCell ref="KL12:KM12"/>
    <mergeCell ref="KT12:KU12"/>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Tamaño del proyecto</vt:lpstr>
      <vt:lpstr>Estimación de la demanda</vt:lpstr>
      <vt:lpstr>VentasMes</vt:lpstr>
      <vt:lpstr>VentasAños</vt:lpstr>
      <vt:lpstr>Nomina</vt:lpstr>
      <vt:lpstr>Maquinas</vt:lpstr>
      <vt:lpstr>Gastos</vt:lpstr>
      <vt:lpstr>Compras</vt:lpstr>
      <vt:lpstr>Depre</vt:lpstr>
      <vt:lpstr>Capital</vt:lpstr>
      <vt:lpstr>Amorti</vt:lpstr>
      <vt:lpstr>ESF</vt:lpstr>
      <vt:lpstr>ER</vt:lpstr>
      <vt:lpstr>FlujoCaja</vt:lpstr>
      <vt:lpstr>Equilibrio</vt:lpstr>
      <vt:lpstr>Propuesta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2023-11-18T21:03:05Z</dcterms:modified>
</cp:coreProperties>
</file>