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1\Proyectos de grado\Civil\"/>
    </mc:Choice>
  </mc:AlternateContent>
  <bookViews>
    <workbookView xWindow="0" yWindow="0" windowWidth="28800" windowHeight="12000"/>
  </bookViews>
  <sheets>
    <sheet name="PRESUPUESTO" sheetId="1" r:id="rId1"/>
    <sheet name="Hoja1" sheetId="2" r:id="rId2"/>
    <sheet name="Hoja2" sheetId="3" r:id="rId3"/>
  </sheets>
  <definedNames>
    <definedName name="_xlnm.Print_Area" localSheetId="0">PRESUPUESTO!$A$1:$G$600</definedName>
    <definedName name="_xlnm.Print_Titles" localSheetId="0">PRESUPUESTO!$1:$11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3" i="1" l="1"/>
  <c r="G394" i="1"/>
  <c r="G395" i="1"/>
  <c r="G396" i="1"/>
  <c r="G397" i="1"/>
  <c r="G398" i="1"/>
  <c r="G590" i="1" l="1"/>
  <c r="G591" i="1" s="1"/>
  <c r="G586" i="1" l="1"/>
  <c r="G587" i="1" s="1"/>
  <c r="B102" i="1" l="1"/>
  <c r="F101" i="1"/>
  <c r="G208" i="1" l="1"/>
  <c r="G209" i="1"/>
  <c r="G210" i="1"/>
  <c r="G207" i="1"/>
  <c r="G165" i="1"/>
  <c r="G166" i="1"/>
  <c r="G167" i="1"/>
  <c r="G168" i="1"/>
  <c r="G169" i="1"/>
  <c r="G170" i="1"/>
  <c r="E162" i="1" l="1"/>
  <c r="G162" i="1" s="1"/>
  <c r="G134" i="1"/>
  <c r="G133" i="1"/>
  <c r="G98" i="1" l="1"/>
  <c r="G99" i="1"/>
  <c r="G100" i="1"/>
  <c r="G101" i="1"/>
  <c r="G102" i="1"/>
  <c r="G97" i="1"/>
  <c r="G112" i="1" l="1"/>
  <c r="G111" i="1"/>
  <c r="G110" i="1"/>
  <c r="G451" i="1" l="1"/>
  <c r="G452" i="1"/>
  <c r="G453" i="1"/>
  <c r="G454" i="1"/>
  <c r="G455" i="1"/>
  <c r="G456" i="1"/>
  <c r="G459" i="1"/>
  <c r="G460" i="1"/>
  <c r="G463" i="1"/>
  <c r="G464" i="1"/>
  <c r="G467" i="1"/>
  <c r="G470" i="1"/>
  <c r="G471" i="1"/>
  <c r="G472" i="1"/>
  <c r="G473" i="1"/>
  <c r="G474" i="1"/>
  <c r="G477" i="1"/>
  <c r="G478" i="1"/>
  <c r="G479" i="1"/>
  <c r="G480" i="1"/>
  <c r="G481" i="1"/>
  <c r="G482" i="1"/>
  <c r="G483" i="1"/>
  <c r="G484" i="1"/>
  <c r="G485" i="1"/>
  <c r="G488" i="1"/>
  <c r="G489" i="1"/>
  <c r="G490" i="1"/>
  <c r="G491" i="1"/>
  <c r="G492" i="1"/>
  <c r="G493" i="1"/>
  <c r="G494" i="1"/>
  <c r="G495" i="1"/>
  <c r="G496" i="1"/>
  <c r="G497" i="1"/>
  <c r="G498" i="1"/>
  <c r="G501" i="1"/>
  <c r="G502" i="1"/>
  <c r="G503" i="1"/>
  <c r="G504" i="1"/>
  <c r="G505" i="1"/>
  <c r="G508" i="1"/>
  <c r="G509" i="1"/>
  <c r="G510" i="1"/>
  <c r="G511" i="1"/>
  <c r="G512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7" i="1"/>
  <c r="G548" i="1"/>
  <c r="G549" i="1"/>
  <c r="G550" i="1"/>
  <c r="G551" i="1"/>
  <c r="G552" i="1"/>
  <c r="G450" i="1"/>
  <c r="G553" i="1" l="1"/>
  <c r="G43" i="1"/>
  <c r="G560" i="1" l="1"/>
  <c r="G42" i="1" l="1"/>
  <c r="G200" i="1" l="1"/>
  <c r="G201" i="1"/>
  <c r="G202" i="1"/>
  <c r="G203" i="1"/>
  <c r="G199" i="1"/>
  <c r="G86" i="1" l="1"/>
  <c r="G87" i="1"/>
  <c r="G88" i="1"/>
  <c r="G89" i="1"/>
  <c r="G90" i="1"/>
  <c r="G91" i="1"/>
  <c r="G92" i="1"/>
  <c r="G93" i="1"/>
  <c r="G85" i="1"/>
  <c r="B17" i="3" l="1"/>
  <c r="B18" i="3" s="1"/>
  <c r="B19" i="3" s="1"/>
  <c r="G195" i="1" l="1"/>
  <c r="G196" i="1"/>
  <c r="G81" i="1" l="1"/>
  <c r="G80" i="1"/>
  <c r="G79" i="1"/>
  <c r="G78" i="1"/>
  <c r="G77" i="1"/>
  <c r="G76" i="1"/>
  <c r="G181" i="1" l="1"/>
  <c r="G180" i="1"/>
  <c r="G145" i="1"/>
  <c r="G144" i="1"/>
  <c r="G143" i="1"/>
  <c r="G60" i="1"/>
  <c r="G59" i="1"/>
  <c r="G444" i="1" l="1"/>
  <c r="G441" i="1"/>
  <c r="G440" i="1"/>
  <c r="G439" i="1"/>
  <c r="G438" i="1"/>
  <c r="G437" i="1"/>
  <c r="G436" i="1"/>
  <c r="G433" i="1"/>
  <c r="G432" i="1"/>
  <c r="E429" i="1"/>
  <c r="G429" i="1" s="1"/>
  <c r="G428" i="1"/>
  <c r="G427" i="1"/>
  <c r="G424" i="1"/>
  <c r="G421" i="1"/>
  <c r="G420" i="1"/>
  <c r="F419" i="1"/>
  <c r="G419" i="1" s="1"/>
  <c r="G418" i="1"/>
  <c r="G417" i="1"/>
  <c r="G416" i="1"/>
  <c r="G413" i="1"/>
  <c r="G410" i="1"/>
  <c r="G409" i="1"/>
  <c r="G404" i="1"/>
  <c r="G403" i="1"/>
  <c r="G405" i="1" s="1"/>
  <c r="G583" i="1"/>
  <c r="G580" i="1"/>
  <c r="F8" i="3"/>
  <c r="F7" i="3"/>
  <c r="F6" i="3"/>
  <c r="F5" i="3"/>
  <c r="F4" i="3"/>
  <c r="F3" i="3"/>
  <c r="E58" i="2"/>
  <c r="F58" i="2" s="1"/>
  <c r="E57" i="2"/>
  <c r="F57" i="2" s="1"/>
  <c r="G445" i="1" l="1"/>
  <c r="G399" i="1"/>
  <c r="G361" i="1"/>
  <c r="G360" i="1"/>
  <c r="G563" i="1" l="1"/>
  <c r="G577" i="1"/>
  <c r="E320" i="1" l="1"/>
  <c r="E325" i="1" s="1"/>
  <c r="G325" i="1" s="1"/>
  <c r="E315" i="1"/>
  <c r="E317" i="1"/>
  <c r="G317" i="1" s="1"/>
  <c r="E316" i="1"/>
  <c r="G316" i="1" s="1"/>
  <c r="E313" i="1"/>
  <c r="E314" i="1" s="1"/>
  <c r="G314" i="1" s="1"/>
  <c r="G315" i="1"/>
  <c r="G312" i="1"/>
  <c r="F324" i="1"/>
  <c r="F323" i="1"/>
  <c r="G320" i="1"/>
  <c r="G313" i="1" l="1"/>
  <c r="E321" i="1"/>
  <c r="G321" i="1" s="1"/>
  <c r="E322" i="1"/>
  <c r="G322" i="1" s="1"/>
  <c r="E323" i="1"/>
  <c r="G323" i="1" s="1"/>
  <c r="E324" i="1"/>
  <c r="G324" i="1" s="1"/>
  <c r="G326" i="1" l="1"/>
  <c r="G567" i="1"/>
  <c r="G387" i="1" l="1"/>
  <c r="E379" i="1"/>
  <c r="E382" i="1" s="1"/>
  <c r="E357" i="1"/>
  <c r="E380" i="1" s="1"/>
  <c r="E362" i="1" l="1"/>
  <c r="E366" i="1"/>
  <c r="G366" i="1" s="1"/>
  <c r="E369" i="1"/>
  <c r="E370" i="1" s="1"/>
  <c r="E376" i="1" s="1"/>
  <c r="E381" i="1"/>
  <c r="E363" i="1" l="1"/>
  <c r="G331" i="1" l="1"/>
  <c r="D54" i="2"/>
  <c r="F45" i="2"/>
  <c r="F46" i="2"/>
  <c r="E43" i="2"/>
  <c r="F43" i="2" s="1"/>
  <c r="E44" i="2"/>
  <c r="F44" i="2" s="1"/>
  <c r="E69" i="2"/>
  <c r="F69" i="2"/>
  <c r="E26" i="2"/>
  <c r="F26" i="2"/>
  <c r="E25" i="2"/>
  <c r="F25" i="2"/>
  <c r="E17" i="2"/>
  <c r="E19" i="2"/>
  <c r="F19" i="2" s="1"/>
  <c r="E18" i="2"/>
  <c r="F18" i="2" s="1"/>
  <c r="F17" i="2"/>
  <c r="E66" i="2"/>
  <c r="E65" i="2"/>
  <c r="F65" i="2" s="1"/>
  <c r="E64" i="2"/>
  <c r="E63" i="2"/>
  <c r="F63" i="2" s="1"/>
  <c r="E62" i="2"/>
  <c r="F62" i="2"/>
  <c r="F64" i="2"/>
  <c r="F66" i="2"/>
  <c r="E61" i="2"/>
  <c r="F61" i="2"/>
  <c r="F53" i="2"/>
  <c r="F54" i="2"/>
  <c r="F52" i="2"/>
  <c r="D35" i="2"/>
  <c r="F35" i="2" s="1"/>
  <c r="F49" i="2"/>
  <c r="F42" i="2"/>
  <c r="F41" i="2"/>
  <c r="F38" i="2"/>
  <c r="F33" i="2"/>
  <c r="F32" i="2"/>
  <c r="F31" i="2"/>
  <c r="E22" i="2"/>
  <c r="F22" i="2" s="1"/>
  <c r="E16" i="2"/>
  <c r="F16" i="2" s="1"/>
  <c r="E15" i="2"/>
  <c r="F15" i="2" s="1"/>
  <c r="E14" i="2"/>
  <c r="F14" i="2" s="1"/>
  <c r="E11" i="2"/>
  <c r="F11" i="2" s="1"/>
  <c r="E277" i="1"/>
  <c r="G277" i="1" s="1"/>
  <c r="E271" i="1"/>
  <c r="E248" i="1"/>
  <c r="G248" i="1" s="1"/>
  <c r="E242" i="1"/>
  <c r="G242" i="1" s="1"/>
  <c r="E239" i="1"/>
  <c r="G239" i="1" s="1"/>
  <c r="G233" i="1"/>
  <c r="G50" i="1"/>
  <c r="G47" i="1"/>
  <c r="G194" i="1"/>
  <c r="G75" i="1"/>
  <c r="G74" i="1"/>
  <c r="G352" i="1"/>
  <c r="E334" i="1"/>
  <c r="G334" i="1" s="1"/>
  <c r="E259" i="1"/>
  <c r="E260" i="1" s="1"/>
  <c r="G260" i="1" s="1"/>
  <c r="G229" i="1"/>
  <c r="G226" i="1"/>
  <c r="G225" i="1"/>
  <c r="G224" i="1"/>
  <c r="G223" i="1"/>
  <c r="G222" i="1"/>
  <c r="G219" i="1"/>
  <c r="G216" i="1"/>
  <c r="G215" i="1"/>
  <c r="G158" i="1"/>
  <c r="G157" i="1"/>
  <c r="G129" i="1"/>
  <c r="G128" i="1"/>
  <c r="G41" i="1"/>
  <c r="G40" i="1"/>
  <c r="E25" i="1"/>
  <c r="G25" i="1" s="1"/>
  <c r="G307" i="1"/>
  <c r="G306" i="1"/>
  <c r="G305" i="1"/>
  <c r="G304" i="1"/>
  <c r="G303" i="1"/>
  <c r="G302" i="1"/>
  <c r="G301" i="1"/>
  <c r="G298" i="1"/>
  <c r="E297" i="1"/>
  <c r="G297" i="1" s="1"/>
  <c r="E296" i="1"/>
  <c r="G296" i="1" s="1"/>
  <c r="G295" i="1"/>
  <c r="G294" i="1"/>
  <c r="G293" i="1"/>
  <c r="G292" i="1"/>
  <c r="G291" i="1"/>
  <c r="G290" i="1"/>
  <c r="G289" i="1"/>
  <c r="G286" i="1"/>
  <c r="G283" i="1"/>
  <c r="G282" i="1"/>
  <c r="G281" i="1"/>
  <c r="G280" i="1"/>
  <c r="G272" i="1"/>
  <c r="G270" i="1"/>
  <c r="G265" i="1"/>
  <c r="G264" i="1"/>
  <c r="G261" i="1"/>
  <c r="G258" i="1"/>
  <c r="G255" i="1"/>
  <c r="G252" i="1"/>
  <c r="G251" i="1"/>
  <c r="G250" i="1"/>
  <c r="G249" i="1"/>
  <c r="G241" i="1"/>
  <c r="G240" i="1"/>
  <c r="G238" i="1"/>
  <c r="G191" i="1"/>
  <c r="G188" i="1"/>
  <c r="G187" i="1"/>
  <c r="G186" i="1"/>
  <c r="G185" i="1"/>
  <c r="G184" i="1"/>
  <c r="G177" i="1"/>
  <c r="G176" i="1"/>
  <c r="G175" i="1"/>
  <c r="G154" i="1"/>
  <c r="G151" i="1"/>
  <c r="G150" i="1"/>
  <c r="G149" i="1"/>
  <c r="G148" i="1"/>
  <c r="G140" i="1"/>
  <c r="G139" i="1"/>
  <c r="G138" i="1"/>
  <c r="G566" i="1"/>
  <c r="G119" i="1"/>
  <c r="G120" i="1"/>
  <c r="G121" i="1"/>
  <c r="G122" i="1"/>
  <c r="G125" i="1"/>
  <c r="G118" i="1"/>
  <c r="G117" i="1"/>
  <c r="G116" i="1"/>
  <c r="G107" i="1"/>
  <c r="G570" i="1"/>
  <c r="G381" i="1"/>
  <c r="G363" i="1"/>
  <c r="G574" i="1"/>
  <c r="G573" i="1"/>
  <c r="G559" i="1"/>
  <c r="G558" i="1"/>
  <c r="G386" i="1"/>
  <c r="G385" i="1"/>
  <c r="G380" i="1"/>
  <c r="G379" i="1"/>
  <c r="G376" i="1"/>
  <c r="G373" i="1"/>
  <c r="G372" i="1"/>
  <c r="G371" i="1"/>
  <c r="G370" i="1"/>
  <c r="G369" i="1"/>
  <c r="G362" i="1"/>
  <c r="G359" i="1"/>
  <c r="G358" i="1"/>
  <c r="G357" i="1"/>
  <c r="G349" i="1"/>
  <c r="G348" i="1"/>
  <c r="G347" i="1"/>
  <c r="G346" i="1"/>
  <c r="G345" i="1"/>
  <c r="G342" i="1"/>
  <c r="G339" i="1"/>
  <c r="G338" i="1"/>
  <c r="G337" i="1"/>
  <c r="G330" i="1"/>
  <c r="G71" i="1"/>
  <c r="G68" i="1"/>
  <c r="G67" i="1"/>
  <c r="G66" i="1"/>
  <c r="G65" i="1"/>
  <c r="G64" i="1"/>
  <c r="G63" i="1"/>
  <c r="G56" i="1"/>
  <c r="G55" i="1"/>
  <c r="G37" i="1"/>
  <c r="G34" i="1"/>
  <c r="G33" i="1"/>
  <c r="G32" i="1"/>
  <c r="G31" i="1"/>
  <c r="G28" i="1"/>
  <c r="G24" i="1"/>
  <c r="G23" i="1"/>
  <c r="G19" i="1"/>
  <c r="G18" i="1"/>
  <c r="G17" i="1"/>
  <c r="G16" i="1"/>
  <c r="G382" i="1"/>
  <c r="F20" i="2" l="1"/>
  <c r="F27" i="2"/>
  <c r="G353" i="1"/>
  <c r="G389" i="1"/>
  <c r="G584" i="1"/>
  <c r="G20" i="1"/>
  <c r="G51" i="1"/>
  <c r="G103" i="1"/>
  <c r="G135" i="1"/>
  <c r="G171" i="1"/>
  <c r="G211" i="1"/>
  <c r="G234" i="1"/>
  <c r="G259" i="1"/>
  <c r="E274" i="1"/>
  <c r="G274" i="1" s="1"/>
  <c r="F70" i="2"/>
  <c r="F71" i="2" s="1"/>
  <c r="E245" i="1"/>
  <c r="G245" i="1" s="1"/>
  <c r="G271" i="1"/>
  <c r="G266" i="1" l="1"/>
  <c r="G308" i="1"/>
  <c r="G588" i="1" l="1"/>
  <c r="G589" i="1" l="1"/>
  <c r="G592" i="1" s="1"/>
  <c r="G594" i="1" s="1"/>
  <c r="G595" i="1" l="1"/>
</calcChain>
</file>

<file path=xl/sharedStrings.xml><?xml version="1.0" encoding="utf-8"?>
<sst xmlns="http://schemas.openxmlformats.org/spreadsheetml/2006/main" count="1666" uniqueCount="952">
  <si>
    <t xml:space="preserve">    REPUBLICA DE COLOMBIA
               DEPARTAMENTO DE CUNDINAMARCA 
           MUNICIPIO TOCAIMA
           NIT 800.093.439-1</t>
  </si>
  <si>
    <t>CONSTRUCCION PLANTA DE TRATAMIENTO DE AGUAS RESIDUALES DEL MUNICIPIO DE TOCAIMA, CUNDINAMARCA</t>
  </si>
  <si>
    <t>LISTA DE PRECIOS Y CANTIDADES - PTAR  MUNICIPIO DE TOCAIMA</t>
  </si>
  <si>
    <t xml:space="preserve"> PRESUPUESTO DE OBRA</t>
  </si>
  <si>
    <t>ÍTEM</t>
  </si>
  <si>
    <t xml:space="preserve">No APUS </t>
  </si>
  <si>
    <t>DESCRIPCIÓN DE ÍTEMS</t>
  </si>
  <si>
    <t>UNIDAD</t>
  </si>
  <si>
    <t>CANTIDAD</t>
  </si>
  <si>
    <t>VALOR UNITARIO $</t>
  </si>
  <si>
    <t>VALOR TOTAL</t>
  </si>
  <si>
    <t xml:space="preserve">1 OBRA CIVIL </t>
  </si>
  <si>
    <t xml:space="preserve"> 1. ACTIVIDADES PRELIMINARES </t>
  </si>
  <si>
    <t>1.1</t>
  </si>
  <si>
    <t>PRELIMINARES</t>
  </si>
  <si>
    <t>1.1.1</t>
  </si>
  <si>
    <t>A1</t>
  </si>
  <si>
    <t>Localización y replanteo</t>
  </si>
  <si>
    <t>M²</t>
  </si>
  <si>
    <t>1,1,2</t>
  </si>
  <si>
    <t>A2</t>
  </si>
  <si>
    <t xml:space="preserve">Cerramiento con polisombra </t>
  </si>
  <si>
    <t>M</t>
  </si>
  <si>
    <t>1,1,3</t>
  </si>
  <si>
    <t>A3</t>
  </si>
  <si>
    <t xml:space="preserve">Suministro e instalación de vallas de información </t>
  </si>
  <si>
    <t>UN</t>
  </si>
  <si>
    <t>1,1,4</t>
  </si>
  <si>
    <t>A4</t>
  </si>
  <si>
    <t xml:space="preserve">Campamento </t>
  </si>
  <si>
    <t xml:space="preserve">SUBTOTAL </t>
  </si>
  <si>
    <t xml:space="preserve"> 2. TRATAMIENTO PRELIMINAR  </t>
  </si>
  <si>
    <t xml:space="preserve">EXCAVACIONES Y RETIROS </t>
  </si>
  <si>
    <t>2,1,1</t>
  </si>
  <si>
    <t>B1</t>
  </si>
  <si>
    <t xml:space="preserve">Descapote  y limpieza </t>
  </si>
  <si>
    <t>2,1,2</t>
  </si>
  <si>
    <t>B2</t>
  </si>
  <si>
    <t xml:space="preserve">Excavación de material común  de 0,0 a 1,5 m (maquinaria) </t>
  </si>
  <si>
    <t>M³</t>
  </si>
  <si>
    <t>2,1,3</t>
  </si>
  <si>
    <t>B5</t>
  </si>
  <si>
    <t xml:space="preserve">Retiro  y disposición de material sobrante </t>
  </si>
  <si>
    <t>RELLENO</t>
  </si>
  <si>
    <t>2,2,1</t>
  </si>
  <si>
    <t>B6</t>
  </si>
  <si>
    <t xml:space="preserve">Relleno  de material proveniente de la excavación </t>
  </si>
  <si>
    <t xml:space="preserve">CONCRETOS </t>
  </si>
  <si>
    <t>2,3,1</t>
  </si>
  <si>
    <t>C1</t>
  </si>
  <si>
    <t>Concreto para solado (10,4 Mpa) e= 0,10 m</t>
  </si>
  <si>
    <t>2,3,2</t>
  </si>
  <si>
    <t>C2</t>
  </si>
  <si>
    <t xml:space="preserve">Concreto  28 Mpa  impermeabilizado para Placa </t>
  </si>
  <si>
    <t>2,3,3</t>
  </si>
  <si>
    <t>C3</t>
  </si>
  <si>
    <t xml:space="preserve">Concreto  28 Mpa  impermeabilizado para Muros </t>
  </si>
  <si>
    <t>2,3,4</t>
  </si>
  <si>
    <t>C10</t>
  </si>
  <si>
    <t xml:space="preserve">Juntas de dilatación </t>
  </si>
  <si>
    <t xml:space="preserve">ACERO </t>
  </si>
  <si>
    <t>2,4,1</t>
  </si>
  <si>
    <t>C11</t>
  </si>
  <si>
    <t>Suministro  figurado y amarrado de acero de refuerzo f"y = 60.000 psi</t>
  </si>
  <si>
    <t>KG</t>
  </si>
  <si>
    <t xml:space="preserve">SUMINISTRO E INSTALACIÓN DE  CARPITENIA METALICA </t>
  </si>
  <si>
    <t>2,5,1</t>
  </si>
  <si>
    <t>D1</t>
  </si>
  <si>
    <t xml:space="preserve">Reja de cribado medio Platina inoxidable  de 1.3 m  longitud  3/8" x 1 1/2" </t>
  </si>
  <si>
    <t>2,5,2</t>
  </si>
  <si>
    <t>D2</t>
  </si>
  <si>
    <t xml:space="preserve">Reja de cribado fino Platina inoxidable  de 1,30 m longitud  3/8" x  1 1/2" </t>
  </si>
  <si>
    <t>2,5,3</t>
  </si>
  <si>
    <t>D24</t>
  </si>
  <si>
    <t xml:space="preserve">Canastilla de escurrimiento </t>
  </si>
  <si>
    <t>2,5,4</t>
  </si>
  <si>
    <t>D23</t>
  </si>
  <si>
    <t>Rejilla de escurrimiento de 0,92 x 0,50 m</t>
  </si>
  <si>
    <t xml:space="preserve">SUMINISTRO E INSTALACIÓN DE TUBERÍAS Y ACCESORIOS DE INTERCONEXION </t>
  </si>
  <si>
    <t xml:space="preserve">DESARENADOR A POZO 1, 2 Y CABEZAL DE DESCARGA </t>
  </si>
  <si>
    <t>2,6,1</t>
  </si>
  <si>
    <t>J25</t>
  </si>
  <si>
    <t xml:space="preserve">Tubería 16" PVC-S </t>
  </si>
  <si>
    <t xml:space="preserve">DESARENADOR A LA EBAR DE LODOS </t>
  </si>
  <si>
    <t>2,6,2</t>
  </si>
  <si>
    <t>J26</t>
  </si>
  <si>
    <t>Tubería 8" PVC-S</t>
  </si>
  <si>
    <t xml:space="preserve">3. ESTACIÓN DE BOMBEO A FILTROS PERCOLADORES </t>
  </si>
  <si>
    <t>3,1,1</t>
  </si>
  <si>
    <t>3,1,2</t>
  </si>
  <si>
    <t xml:space="preserve">Excavación de material común  de 0,0 a 3,0  m (maquinaria) </t>
  </si>
  <si>
    <t xml:space="preserve">CIMETACION </t>
  </si>
  <si>
    <t>3,2,1</t>
  </si>
  <si>
    <t>B12</t>
  </si>
  <si>
    <t xml:space="preserve">Sub-base compactada al 95% del producto modificado en capas máximas de 20 cm </t>
  </si>
  <si>
    <t>3,2,2</t>
  </si>
  <si>
    <t>G1</t>
  </si>
  <si>
    <t xml:space="preserve">Entibado en Madera </t>
  </si>
  <si>
    <t xml:space="preserve">CONCRETOS PARA POZO DE BOMBEO </t>
  </si>
  <si>
    <t>3,3,1</t>
  </si>
  <si>
    <t>3,3,2</t>
  </si>
  <si>
    <t xml:space="preserve">Concreto  28 Mpa impermeabilizado para Placa </t>
  </si>
  <si>
    <t>3,3,3</t>
  </si>
  <si>
    <t>3,3,4</t>
  </si>
  <si>
    <t xml:space="preserve">Concreto  28 Mpa  impermeabilizado para Placa Superior </t>
  </si>
  <si>
    <t>3,3,5</t>
  </si>
  <si>
    <t>3,3,6</t>
  </si>
  <si>
    <t>C4</t>
  </si>
  <si>
    <t xml:space="preserve">Concreto ciclópeo de relleno </t>
  </si>
  <si>
    <t>3,4,1</t>
  </si>
  <si>
    <t xml:space="preserve">SUMINISTRO E INSTALACIÓN CARPINTERÍA METÁLICA </t>
  </si>
  <si>
    <t>3,5,1</t>
  </si>
  <si>
    <t>D3</t>
  </si>
  <si>
    <t xml:space="preserve">Rejilla metálica galvanizada de 1,10 x 0,86 m con marco de asentamiento </t>
  </si>
  <si>
    <t>3,5,2</t>
  </si>
  <si>
    <t>D9</t>
  </si>
  <si>
    <t xml:space="preserve">Rejilla metálica galvanizada de 1,0 x 1,0 m con marco de asentamiento </t>
  </si>
  <si>
    <t>3,5,3</t>
  </si>
  <si>
    <t>D4</t>
  </si>
  <si>
    <t xml:space="preserve">Rejilla metálica galvanizada de 0,90 x 0,90 m con marco de asentamiento </t>
  </si>
  <si>
    <t>3,5,4</t>
  </si>
  <si>
    <t>D8</t>
  </si>
  <si>
    <t xml:space="preserve">Baranda de 1 m  x 2,4 m </t>
  </si>
  <si>
    <t>3,5,5</t>
  </si>
  <si>
    <t>D6</t>
  </si>
  <si>
    <t>Escalera Gato de 1,60 m</t>
  </si>
  <si>
    <t>3,5,6</t>
  </si>
  <si>
    <t>D25</t>
  </si>
  <si>
    <t>Escalera Gato de 2,50 m</t>
  </si>
  <si>
    <t>3,5,7</t>
  </si>
  <si>
    <t>D26</t>
  </si>
  <si>
    <t xml:space="preserve">Diferencial de cadena de 1/2 Ton </t>
  </si>
  <si>
    <t>3,5,8</t>
  </si>
  <si>
    <t>D27</t>
  </si>
  <si>
    <t>Riel para diferencial 6" x 6 m</t>
  </si>
  <si>
    <t>3,5,9</t>
  </si>
  <si>
    <t>Pórtico para soporte de riel en w de 10" x 10"</t>
  </si>
  <si>
    <t xml:space="preserve">SUMINISTRO E INSTALACIÓN DE TUBERÍAS Y ACCESORIOS </t>
  </si>
  <si>
    <t>3,6,1</t>
  </si>
  <si>
    <t>J8</t>
  </si>
  <si>
    <t>Niple Ø 6" Acero BXB L= 2,70 m</t>
  </si>
  <si>
    <t>3,6,2</t>
  </si>
  <si>
    <t>J9</t>
  </si>
  <si>
    <t>Codo  Ø 6" x 90 HD</t>
  </si>
  <si>
    <t>3,6,3</t>
  </si>
  <si>
    <t>J10</t>
  </si>
  <si>
    <t>Pasamuro Ø 6" HD BXB L= 0,45 m , Z= 0,225</t>
  </si>
  <si>
    <t>3,6,4</t>
  </si>
  <si>
    <t>F2</t>
  </si>
  <si>
    <t>Válvula cheque Ø 6"</t>
  </si>
  <si>
    <t>3,6,5</t>
  </si>
  <si>
    <t>F1</t>
  </si>
  <si>
    <t>Válvula compuerta Ø 6"</t>
  </si>
  <si>
    <t>3,6,6</t>
  </si>
  <si>
    <t>J11</t>
  </si>
  <si>
    <t>Unión montaje Ø 6"</t>
  </si>
  <si>
    <t>3,6,7</t>
  </si>
  <si>
    <t>J12</t>
  </si>
  <si>
    <t xml:space="preserve">Niple de 6" HD BXB L= 2.0 m </t>
  </si>
  <si>
    <t>3,6,8</t>
  </si>
  <si>
    <t>J13</t>
  </si>
  <si>
    <t>Tee Ø 6" BXB HD</t>
  </si>
  <si>
    <t>3,6,9</t>
  </si>
  <si>
    <t>F8</t>
  </si>
  <si>
    <t>Compuertas metálicas en acero inoxidable deslizantes con ruedas de manejo 500mm</t>
  </si>
  <si>
    <t>3,7,1</t>
  </si>
  <si>
    <t xml:space="preserve">EBAR A FILTROS PERCOLADORES </t>
  </si>
  <si>
    <t>3,7,1,1</t>
  </si>
  <si>
    <t>J41</t>
  </si>
  <si>
    <t>Pasamuro PVC RDE 41 UNIÓN Z ∅6''  L=0.15m</t>
  </si>
  <si>
    <t>3,7,1,2</t>
  </si>
  <si>
    <t>J42</t>
  </si>
  <si>
    <t>Tubería  PVC-P RDE 41  ∅6"</t>
  </si>
  <si>
    <t>3,7,1,3</t>
  </si>
  <si>
    <t>J43</t>
  </si>
  <si>
    <t>Codo  PVC-P 90º ∅6"</t>
  </si>
  <si>
    <t>3,7,1,4</t>
  </si>
  <si>
    <t>J44</t>
  </si>
  <si>
    <t>Pasamuro PVC RDE 41 UNIÓN Z ∅6'  L=0.25m</t>
  </si>
  <si>
    <t>3,7,1,5</t>
  </si>
  <si>
    <t>Tubería PVC-P RDE 41  ∅6"</t>
  </si>
  <si>
    <t>3,7,1,6</t>
  </si>
  <si>
    <t xml:space="preserve">4. FILTROS PERCOLADORES </t>
  </si>
  <si>
    <t xml:space="preserve">SOPLADORES </t>
  </si>
  <si>
    <t xml:space="preserve">EXCAVACIONES </t>
  </si>
  <si>
    <t>4,1,1</t>
  </si>
  <si>
    <t>4,2,1</t>
  </si>
  <si>
    <t>4,2,2</t>
  </si>
  <si>
    <t>B7</t>
  </si>
  <si>
    <t>Mejoramiento en rajón apisonado e=0.20 m</t>
  </si>
  <si>
    <t>4,2,3</t>
  </si>
  <si>
    <t>G2</t>
  </si>
  <si>
    <t xml:space="preserve">Pilotes en madera  L= 10 m Ø 25 cm </t>
  </si>
  <si>
    <t>4,3,1</t>
  </si>
  <si>
    <t>4,3,2</t>
  </si>
  <si>
    <t xml:space="preserve">Concreto impermeabilizado  (28 Mpa) para Placas </t>
  </si>
  <si>
    <t>4,3,3</t>
  </si>
  <si>
    <t xml:space="preserve">Concreto impermeabilizado  (28 Mpa) para Muros </t>
  </si>
  <si>
    <t>4,3,4</t>
  </si>
  <si>
    <t>Concreto impermeabilizado  (28 Mpa) Vigueta V-200</t>
  </si>
  <si>
    <t>4,3,5</t>
  </si>
  <si>
    <t>Concreto impermeabilizado  (28 Mpa) Vigueta V-201</t>
  </si>
  <si>
    <t>4,3,6</t>
  </si>
  <si>
    <t>Concreto impermeabilizado  (28 Mpa) Vigueta V-202</t>
  </si>
  <si>
    <t>4,3,7</t>
  </si>
  <si>
    <t xml:space="preserve">Juntas de Dilatación </t>
  </si>
  <si>
    <t>4,4,1</t>
  </si>
  <si>
    <t xml:space="preserve">SUMINISTRO E INSTALACIÓN DE CARPINTERIA METALICA </t>
  </si>
  <si>
    <t>4,5,1</t>
  </si>
  <si>
    <t>4,5,2</t>
  </si>
  <si>
    <t>D28</t>
  </si>
  <si>
    <t xml:space="preserve">Escalera de  Gato L= 9.55 escalones 0,35 , ancho 0,40, con canasta </t>
  </si>
  <si>
    <t>SUMINISTRO E INSTALACIÓN DE TUBERÍAS Y ACCESORIOS DE INTERCONEXIÓN</t>
  </si>
  <si>
    <t>4,6,1</t>
  </si>
  <si>
    <t>PERCOLADORES A EBAR 1 Y 2</t>
  </si>
  <si>
    <t>4,6,1,1</t>
  </si>
  <si>
    <t>J33</t>
  </si>
  <si>
    <t>Pasamuro PVC RDE 41 UNIÓN Z ∅12''  L=0.15m</t>
  </si>
  <si>
    <t>4,6,1,2</t>
  </si>
  <si>
    <t>J31</t>
  </si>
  <si>
    <t xml:space="preserve">Tubería PVC-P RDE 41  ∅12" </t>
  </si>
  <si>
    <t xml:space="preserve">5. SEDIMENTADOR </t>
  </si>
  <si>
    <t>5,1,1</t>
  </si>
  <si>
    <t>5,1,2</t>
  </si>
  <si>
    <t>5,1,3</t>
  </si>
  <si>
    <t>B3</t>
  </si>
  <si>
    <t>Excavación de material común  de   3,0 a 5,0  m (maquinaria)</t>
  </si>
  <si>
    <t>5,2,1</t>
  </si>
  <si>
    <t>5,2,2</t>
  </si>
  <si>
    <t>5,2,3</t>
  </si>
  <si>
    <t>5,3,1</t>
  </si>
  <si>
    <t>5,3,2</t>
  </si>
  <si>
    <t>5,3,3</t>
  </si>
  <si>
    <t>5,3,4</t>
  </si>
  <si>
    <t>5,4,1</t>
  </si>
  <si>
    <t>5,5,1</t>
  </si>
  <si>
    <t>D7</t>
  </si>
  <si>
    <t xml:space="preserve">Pasarela de alfajor calibre 14  7x 1 m </t>
  </si>
  <si>
    <t>5,5,2</t>
  </si>
  <si>
    <t>D29</t>
  </si>
  <si>
    <t>Baranda metálica  1  x 1,60 m</t>
  </si>
  <si>
    <t xml:space="preserve">SUMINISTRO E INSTALACIÓN DE TUBERÍAS DE INTERCONEXION </t>
  </si>
  <si>
    <t>5,6,1</t>
  </si>
  <si>
    <t xml:space="preserve">SEDIMENTDOR  A TANQUE DE CLORACION </t>
  </si>
  <si>
    <t>5,6,1,1</t>
  </si>
  <si>
    <t xml:space="preserve">Tubería  PVC-S Ø8" </t>
  </si>
  <si>
    <t>5,6,2</t>
  </si>
  <si>
    <t xml:space="preserve">SEDIMENTADORES A EBAR DE LODOS </t>
  </si>
  <si>
    <t>56,2,1</t>
  </si>
  <si>
    <t>J28</t>
  </si>
  <si>
    <t xml:space="preserve">Tubería PVC-P RDE 41 ∅4" </t>
  </si>
  <si>
    <t>56,2,2</t>
  </si>
  <si>
    <t>J36</t>
  </si>
  <si>
    <t>Codo PVC-P 45º ∅4"</t>
  </si>
  <si>
    <t>56,2,3</t>
  </si>
  <si>
    <t>J27</t>
  </si>
  <si>
    <t>Pasamuro PVC RDE 41 UNIÓN Z ∅4''  L=0.15m</t>
  </si>
  <si>
    <t>56,2,4</t>
  </si>
  <si>
    <t>J35</t>
  </si>
  <si>
    <t>Niple BXB ∅4"L=50m</t>
  </si>
  <si>
    <t>56,2,5</t>
  </si>
  <si>
    <t>F5</t>
  </si>
  <si>
    <t>Válvula Mariposa  ∅4"</t>
  </si>
  <si>
    <t>56,2,6</t>
  </si>
  <si>
    <t>J34</t>
  </si>
  <si>
    <t>Pasamuro PVC RDE 41 UNIÓN Z ∅4''  L=0.20m</t>
  </si>
  <si>
    <t xml:space="preserve">6. BOMBEO DE LODOS </t>
  </si>
  <si>
    <t>6,1,1</t>
  </si>
  <si>
    <t>6,1,2</t>
  </si>
  <si>
    <t>6,1,3</t>
  </si>
  <si>
    <t>6,2,1</t>
  </si>
  <si>
    <t>6,2,2</t>
  </si>
  <si>
    <t>6,3,1</t>
  </si>
  <si>
    <t>6,3,2</t>
  </si>
  <si>
    <t>6,3,3</t>
  </si>
  <si>
    <t>6,3,4</t>
  </si>
  <si>
    <t>6,3,5</t>
  </si>
  <si>
    <t>6,4,1</t>
  </si>
  <si>
    <t>6,5,1</t>
  </si>
  <si>
    <t>D5</t>
  </si>
  <si>
    <t xml:space="preserve">Rejilla metálica galvanizada con marco de 1,03 x 0,68m con marco de asentamiento </t>
  </si>
  <si>
    <t>6,5,2</t>
  </si>
  <si>
    <t>6,5,3</t>
  </si>
  <si>
    <t xml:space="preserve">Riel de 6" para Diferencial </t>
  </si>
  <si>
    <t>6,6,1</t>
  </si>
  <si>
    <t>J20</t>
  </si>
  <si>
    <t>Pasamuro 3" Acero  L= 0,71 m BXB</t>
  </si>
  <si>
    <t>6,6,2</t>
  </si>
  <si>
    <t>J21</t>
  </si>
  <si>
    <t xml:space="preserve">Codos 3 " X 90º  HD </t>
  </si>
  <si>
    <t>6,6,3</t>
  </si>
  <si>
    <t>J22</t>
  </si>
  <si>
    <t>Niple Acero  3" L= 0,71</t>
  </si>
  <si>
    <t>6,6,4</t>
  </si>
  <si>
    <t>F3</t>
  </si>
  <si>
    <t>Válvula cheque HD 3"</t>
  </si>
  <si>
    <t>6,6,5</t>
  </si>
  <si>
    <t>F4</t>
  </si>
  <si>
    <t>Válvula compuerta  HD 3"</t>
  </si>
  <si>
    <t>SUMINISTRO E INSTALACION DE TUBERÍAS Y ACCESORIOS  DE INTERCONECCION</t>
  </si>
  <si>
    <t>6,7,1</t>
  </si>
  <si>
    <t xml:space="preserve">EBAR A DE LODOS A DESHIDRATADORA </t>
  </si>
  <si>
    <t>6,7,1,1</t>
  </si>
  <si>
    <t>J37</t>
  </si>
  <si>
    <t>Pasamuro PVC RDE 41 UNIÓN Z ∅3''  L=0.25m</t>
  </si>
  <si>
    <t>6,7,1,2</t>
  </si>
  <si>
    <t>J38</t>
  </si>
  <si>
    <t>Tubería  PVC-P RDE 41 ∅3" - L = 4.10m</t>
  </si>
  <si>
    <t>6,7,1,3</t>
  </si>
  <si>
    <t>J39</t>
  </si>
  <si>
    <t>Codo 90º PVC - P  ∅3"</t>
  </si>
  <si>
    <t>6,7,1,4</t>
  </si>
  <si>
    <t>J40</t>
  </si>
  <si>
    <t>Pasamuro  PVC RDE 41 UNIÓN Z ∅3''  L=0.15m</t>
  </si>
  <si>
    <t xml:space="preserve">7. TANQUE DE CLORACIÓN </t>
  </si>
  <si>
    <t>7,1,1</t>
  </si>
  <si>
    <t>7,1,2</t>
  </si>
  <si>
    <t>7,2,1</t>
  </si>
  <si>
    <t xml:space="preserve">Relleno de material proveniente de la excavación </t>
  </si>
  <si>
    <t>7,3,1</t>
  </si>
  <si>
    <t>Concreto para solado (10,4 Mpa) e= 0,10  m</t>
  </si>
  <si>
    <t>7,3,2</t>
  </si>
  <si>
    <t>7,3,3</t>
  </si>
  <si>
    <t>7,3,4</t>
  </si>
  <si>
    <t>C12</t>
  </si>
  <si>
    <t xml:space="preserve">Concreto impermeabilizado  (28 Mpa) para Tabiques </t>
  </si>
  <si>
    <t>7,3,5</t>
  </si>
  <si>
    <t>7,4,1</t>
  </si>
  <si>
    <t>7,5,1</t>
  </si>
  <si>
    <t>TANQUE DE CLORACION A POZO 2</t>
  </si>
  <si>
    <t>7,5,1,1</t>
  </si>
  <si>
    <t>Tubería 12" PVC -S</t>
  </si>
  <si>
    <t xml:space="preserve">8, CASETA DE CLORACIÓN </t>
  </si>
  <si>
    <t>8,1,1</t>
  </si>
  <si>
    <t>8,1,2</t>
  </si>
  <si>
    <t>8,1,3</t>
  </si>
  <si>
    <t xml:space="preserve">Excavación de material común  de 1,5 a 3,0 m (maquinaria) </t>
  </si>
  <si>
    <t>8,1,4</t>
  </si>
  <si>
    <t xml:space="preserve">Excavación de material común  mas de 3,0 m (maquinaria) </t>
  </si>
  <si>
    <t>8,1,5</t>
  </si>
  <si>
    <t xml:space="preserve">Retiro de material proveniente de la excavación </t>
  </si>
  <si>
    <t>8,2,1</t>
  </si>
  <si>
    <t>8,3,1</t>
  </si>
  <si>
    <t>8,3,2</t>
  </si>
  <si>
    <t>C5</t>
  </si>
  <si>
    <t xml:space="preserve">Concreto de 24,5 Mpa para placa de Piso </t>
  </si>
  <si>
    <t>8,3,3</t>
  </si>
  <si>
    <t xml:space="preserve">Concreto de 24,5 Mpa  para Zapatas </t>
  </si>
  <si>
    <t>8,3,4</t>
  </si>
  <si>
    <t xml:space="preserve">Concreto de 24,5 Mpa  para Vigas </t>
  </si>
  <si>
    <t>8,3,5</t>
  </si>
  <si>
    <t>C6</t>
  </si>
  <si>
    <t xml:space="preserve">Concreto de 24,5 Mpa  para Columnas </t>
  </si>
  <si>
    <t>8,4,1</t>
  </si>
  <si>
    <t xml:space="preserve">MUROS CUBIERTA  Y ACABADOS </t>
  </si>
  <si>
    <t>8,5,1</t>
  </si>
  <si>
    <t>G3</t>
  </si>
  <si>
    <t xml:space="preserve">Suministro e instalación de Muro en Mampostera en ladrillo común </t>
  </si>
  <si>
    <t>8,5,2</t>
  </si>
  <si>
    <t>G4</t>
  </si>
  <si>
    <t>Pañete liso para muros y placas 1:6</t>
  </si>
  <si>
    <t>8,5,3</t>
  </si>
  <si>
    <t>G5</t>
  </si>
  <si>
    <t xml:space="preserve">Estuco y vinilo 3 manos </t>
  </si>
  <si>
    <t>8,5,4</t>
  </si>
  <si>
    <t>G6</t>
  </si>
  <si>
    <t xml:space="preserve">Cubierta sencilla  Modular 333 (cal 24) o similar </t>
  </si>
  <si>
    <t>8,6,1</t>
  </si>
  <si>
    <t>D10</t>
  </si>
  <si>
    <t xml:space="preserve">Ventana en aluminio de 1.20x 1.00 m </t>
  </si>
  <si>
    <t>8,6,2</t>
  </si>
  <si>
    <t>D11</t>
  </si>
  <si>
    <t>Puerta en reja metálica 3,30x3,57m</t>
  </si>
  <si>
    <t xml:space="preserve">9, CASETA DE OPERACIÓN Y CONTROL </t>
  </si>
  <si>
    <t>9,1,1</t>
  </si>
  <si>
    <t>9,1,2</t>
  </si>
  <si>
    <t>9,1,3</t>
  </si>
  <si>
    <t>9,1,4</t>
  </si>
  <si>
    <t>9,1,5</t>
  </si>
  <si>
    <t>9,2,1</t>
  </si>
  <si>
    <t>9,3,1</t>
  </si>
  <si>
    <t>9,3,2</t>
  </si>
  <si>
    <t>Concreto de 24,5 Mpa para placa de piso e=0.15</t>
  </si>
  <si>
    <t>9,3,3</t>
  </si>
  <si>
    <t>Concreto de 24,5 Mpa  para columnas de cimentación</t>
  </si>
  <si>
    <t>9,3,4</t>
  </si>
  <si>
    <t>C7</t>
  </si>
  <si>
    <t>Concreto de 24,5 Mpa  para viga de cimentación</t>
  </si>
  <si>
    <t>9,4,1</t>
  </si>
  <si>
    <t xml:space="preserve">MUROS, PISOS Y ACABADOS </t>
  </si>
  <si>
    <t>9,5,1</t>
  </si>
  <si>
    <t>9,5,2</t>
  </si>
  <si>
    <t>G7</t>
  </si>
  <si>
    <t>Piso en tablón de gress de 0,3x0,3</t>
  </si>
  <si>
    <t>9,5,3</t>
  </si>
  <si>
    <t>G8</t>
  </si>
  <si>
    <t>Cerámica para piso  0,3x0,3 blanco</t>
  </si>
  <si>
    <t>9,5,4</t>
  </si>
  <si>
    <t>Cerámica para pared 1,60 m de altura  0,3x0,3 blanco</t>
  </si>
  <si>
    <t>9,5,5</t>
  </si>
  <si>
    <t>G9</t>
  </si>
  <si>
    <t>Combo sanitario, lavamanos y accesorio para un baño</t>
  </si>
  <si>
    <t>9,5,6</t>
  </si>
  <si>
    <t>G10</t>
  </si>
  <si>
    <t>Mesón para laboratorio en Concreto</t>
  </si>
  <si>
    <t>9,5,7</t>
  </si>
  <si>
    <t>G11</t>
  </si>
  <si>
    <t>Lavaplatos para laboratorio</t>
  </si>
  <si>
    <t>9,5,8</t>
  </si>
  <si>
    <t>9,5,9</t>
  </si>
  <si>
    <t>9,5,10</t>
  </si>
  <si>
    <t>9,6,1</t>
  </si>
  <si>
    <t>D13</t>
  </si>
  <si>
    <t xml:space="preserve">Ventana en aluminio de 0,90x 1.10 m </t>
  </si>
  <si>
    <t>9,6,2</t>
  </si>
  <si>
    <t>D14</t>
  </si>
  <si>
    <t xml:space="preserve">Ventana en aluminio de 1.80 x 1,10 m </t>
  </si>
  <si>
    <t>9,6,3</t>
  </si>
  <si>
    <t>D15</t>
  </si>
  <si>
    <t xml:space="preserve">Ventana en aluminio de 1.10 x 0.50 m </t>
  </si>
  <si>
    <t>9,6,4</t>
  </si>
  <si>
    <t>D16</t>
  </si>
  <si>
    <t xml:space="preserve">Ventana en aluminio de 1.90 x 1.10 m </t>
  </si>
  <si>
    <t>9,6,5</t>
  </si>
  <si>
    <t>D17</t>
  </si>
  <si>
    <t xml:space="preserve">Puerta en aluminio de 2.10 x 2.00 m </t>
  </si>
  <si>
    <t>9,6,6</t>
  </si>
  <si>
    <t>D18</t>
  </si>
  <si>
    <t xml:space="preserve">Puerta en aluminio de 0.65 x 2.20 m </t>
  </si>
  <si>
    <t>9,6,7</t>
  </si>
  <si>
    <t>D19</t>
  </si>
  <si>
    <t xml:space="preserve">Puerta en aluminio de 1.00 x 2.20 m </t>
  </si>
  <si>
    <t xml:space="preserve">10, ZONAS DE CIRCULACIÓN Y ZONAS VERDES </t>
  </si>
  <si>
    <t xml:space="preserve">VÍAS DE ACCESO </t>
  </si>
  <si>
    <t>10,1,1</t>
  </si>
  <si>
    <t>10,1,2</t>
  </si>
  <si>
    <t>10,1,3</t>
  </si>
  <si>
    <t>10,1,4</t>
  </si>
  <si>
    <t>10,1,5</t>
  </si>
  <si>
    <t>B9</t>
  </si>
  <si>
    <t>Adoquín en concreto e=0.08 m</t>
  </si>
  <si>
    <t>10,1,6</t>
  </si>
  <si>
    <t>B10</t>
  </si>
  <si>
    <t>Atraque en arena e=0.06 m</t>
  </si>
  <si>
    <t xml:space="preserve">VIAS PERIMETRALES </t>
  </si>
  <si>
    <t>10,2,1</t>
  </si>
  <si>
    <t>10,2,2</t>
  </si>
  <si>
    <t>10,2,3</t>
  </si>
  <si>
    <t>10,2,4</t>
  </si>
  <si>
    <t>10,2,5</t>
  </si>
  <si>
    <t>10,2,6</t>
  </si>
  <si>
    <t>C9</t>
  </si>
  <si>
    <t xml:space="preserve">Sardinel en Concreto de 21 Mpa </t>
  </si>
  <si>
    <t xml:space="preserve">11, SUMINISTRO E INSTALACIÓN DE CERRAMIENTO </t>
  </si>
  <si>
    <t>11,1,1</t>
  </si>
  <si>
    <t>11,1,2</t>
  </si>
  <si>
    <t xml:space="preserve">Excavación de material común  de 0,0 a 1,5 m (Manual) con retiro </t>
  </si>
  <si>
    <t>11,2,1</t>
  </si>
  <si>
    <t>11,3,1</t>
  </si>
  <si>
    <t>11,3,2</t>
  </si>
  <si>
    <t>11,3,3</t>
  </si>
  <si>
    <t>C8</t>
  </si>
  <si>
    <t>Concreto de 24,5 Mpa para columnetas</t>
  </si>
  <si>
    <t>11,4,1</t>
  </si>
  <si>
    <t>Suministro figurado y amarrado de acero de refuerzo f"y = 60.000 psi</t>
  </si>
  <si>
    <t xml:space="preserve">CERRAMIENTO Y PUERTA DE ACCESO </t>
  </si>
  <si>
    <t>11,5,1</t>
  </si>
  <si>
    <t>11,5,2</t>
  </si>
  <si>
    <t>G13</t>
  </si>
  <si>
    <t>Malla eslabonada Calibre 12 de 2 m de altura x 3 m de ancho</t>
  </si>
  <si>
    <t>11,5,3</t>
  </si>
  <si>
    <t>G14</t>
  </si>
  <si>
    <t xml:space="preserve">Tubo Galvanizado de  2" para cerramiento </t>
  </si>
  <si>
    <t>11,5,4</t>
  </si>
  <si>
    <t>G15</t>
  </si>
  <si>
    <t>Alambre de púas para  3 hiladas</t>
  </si>
  <si>
    <t>11,5,5</t>
  </si>
  <si>
    <t>G16</t>
  </si>
  <si>
    <t>Puerta en tubo y malla eslabonada de 2.2 m de altura por 5 m de ancho</t>
  </si>
  <si>
    <t xml:space="preserve">CERCA VIVA </t>
  </si>
  <si>
    <t>11,6,1</t>
  </si>
  <si>
    <t>G17</t>
  </si>
  <si>
    <t>Siembra  de limon Swinglia (PLANTULA)</t>
  </si>
  <si>
    <t xml:space="preserve">12. CASETA DE CONTROL ELÉCTRICO </t>
  </si>
  <si>
    <t>12,1,1</t>
  </si>
  <si>
    <t>12,1,2</t>
  </si>
  <si>
    <t>12,1,3</t>
  </si>
  <si>
    <t xml:space="preserve">Excavación de material común  de 1,5 a 3,0 m (maquinaria) con retiro </t>
  </si>
  <si>
    <t>12,1,4</t>
  </si>
  <si>
    <t>12,1,5</t>
  </si>
  <si>
    <t>12,1,6</t>
  </si>
  <si>
    <t>B4</t>
  </si>
  <si>
    <t xml:space="preserve">Excavación de material común mas de  3,0 m (maquinaria) con retiro </t>
  </si>
  <si>
    <t>12,1,7</t>
  </si>
  <si>
    <t xml:space="preserve">Retiro de material sobrante de la excavación </t>
  </si>
  <si>
    <t>12,2,1</t>
  </si>
  <si>
    <t>12,3,1</t>
  </si>
  <si>
    <t>Concreto para solado (10,4 Mpa) e= 0,05 m</t>
  </si>
  <si>
    <t>12,3,2</t>
  </si>
  <si>
    <t>Concreto de 24,5 Mpa  para placa de piso e=0.15</t>
  </si>
  <si>
    <t>12,3,3</t>
  </si>
  <si>
    <t>12,3,4</t>
  </si>
  <si>
    <t>Concreto para cubierta 24,5 Mpa  impermeabilizado  e=0.15</t>
  </si>
  <si>
    <t>14,1,3,5</t>
  </si>
  <si>
    <t>Concreto de 24,5 Mpa  para Vigas de cimentación</t>
  </si>
  <si>
    <t>12,4,1</t>
  </si>
  <si>
    <t>12,5,1</t>
  </si>
  <si>
    <t>12,5,2</t>
  </si>
  <si>
    <t>Suministro e instalación de Piso en Tablón de gress de 0,3x0,3</t>
  </si>
  <si>
    <t>12,5,3</t>
  </si>
  <si>
    <t>12,5,4</t>
  </si>
  <si>
    <t>12,6,1</t>
  </si>
  <si>
    <t>D20</t>
  </si>
  <si>
    <t xml:space="preserve">Ventana en aluminio de 3.65 x 0.60 m </t>
  </si>
  <si>
    <t>12,6,2</t>
  </si>
  <si>
    <t>D21</t>
  </si>
  <si>
    <t xml:space="preserve">Puerta en aluminio de 2.0 x 2.1 m </t>
  </si>
  <si>
    <t>12,6,3</t>
  </si>
  <si>
    <t>D22</t>
  </si>
  <si>
    <t xml:space="preserve">Puerta en aluminio de 0.8 x 2.1 m </t>
  </si>
  <si>
    <t xml:space="preserve">13.  ESPESADOR DE LODOS  </t>
  </si>
  <si>
    <t>13,1,1</t>
  </si>
  <si>
    <t>J29</t>
  </si>
  <si>
    <t xml:space="preserve">Tubería 4" PVC RDE 21 Espesador a Tanque alcalino </t>
  </si>
  <si>
    <t>13,1,2</t>
  </si>
  <si>
    <t xml:space="preserve">Codo de 90 PVC 4" RDE 21 Espesador a Tanque alcalino </t>
  </si>
  <si>
    <t>13,1,3</t>
  </si>
  <si>
    <t>F9</t>
  </si>
  <si>
    <t xml:space="preserve">Registro Globo 4" Espesador a Tanque alcalino </t>
  </si>
  <si>
    <t>13,1,4</t>
  </si>
  <si>
    <t>J23</t>
  </si>
  <si>
    <t xml:space="preserve">Tubería 6" PVC RDE 21 Espesador a Lecho de Secado </t>
  </si>
  <si>
    <t>13,1,5</t>
  </si>
  <si>
    <t>E14</t>
  </si>
  <si>
    <t xml:space="preserve">Codo de 90 PVC 6" RDE 21 Espesador a Lecho de Secado </t>
  </si>
  <si>
    <t>13,1,6</t>
  </si>
  <si>
    <t>F10</t>
  </si>
  <si>
    <t xml:space="preserve">Registro Globo 6" Espesador a Lecho de Secado </t>
  </si>
  <si>
    <t xml:space="preserve">14. TANQUE ALCALINO </t>
  </si>
  <si>
    <t>14,1,1</t>
  </si>
  <si>
    <t xml:space="preserve">Tubería 4" PVC Tanque alcalino a lecho de secado </t>
  </si>
  <si>
    <t>14,1,2</t>
  </si>
  <si>
    <t xml:space="preserve">Codo de 90 PVC 4" Tanque alcalino a lecho de secado </t>
  </si>
  <si>
    <t xml:space="preserve">15.  LECHO DE SECADO </t>
  </si>
  <si>
    <t>15,1,1</t>
  </si>
  <si>
    <t>15,1,2</t>
  </si>
  <si>
    <t>15,2,1</t>
  </si>
  <si>
    <t>15,3,1</t>
  </si>
  <si>
    <t>15,3,2</t>
  </si>
  <si>
    <t>Concreto  28 Mpa  impermeabilizado para Zapatas</t>
  </si>
  <si>
    <t>15,3,3</t>
  </si>
  <si>
    <t xml:space="preserve">Concreto  28 Mpa  impermeabilizado para Vigas </t>
  </si>
  <si>
    <t>15,3,4</t>
  </si>
  <si>
    <t xml:space="preserve">Concreto  28 Mpa  impermeabilizado para Losa de salpique </t>
  </si>
  <si>
    <t>15,3,5</t>
  </si>
  <si>
    <t>15,3,6</t>
  </si>
  <si>
    <t xml:space="preserve">Concreto  28 Mpa  impermeabilizado para Piso </t>
  </si>
  <si>
    <t>15,4,1</t>
  </si>
  <si>
    <t xml:space="preserve">MUROS Y CUBIERTAS </t>
  </si>
  <si>
    <t>15,5,1</t>
  </si>
  <si>
    <t>15,5,2</t>
  </si>
  <si>
    <t>15,5,3</t>
  </si>
  <si>
    <t>D12</t>
  </si>
  <si>
    <t xml:space="preserve">Cercha Metálica para cubierta </t>
  </si>
  <si>
    <t xml:space="preserve">AGREGADOS </t>
  </si>
  <si>
    <t>15,6,1</t>
  </si>
  <si>
    <t>B13</t>
  </si>
  <si>
    <t>Gravilla Fina  (seleccionada)</t>
  </si>
  <si>
    <t>15,6,2</t>
  </si>
  <si>
    <t>B14</t>
  </si>
  <si>
    <t>Arena fina (lavada para filtro)</t>
  </si>
  <si>
    <t xml:space="preserve">SUMINISTRO E INSTALACIÓN DE TUBERIA Y ACCESORIOS </t>
  </si>
  <si>
    <t>15,7,1</t>
  </si>
  <si>
    <t>Válvula f 4"  (Mariposa)</t>
  </si>
  <si>
    <t>15,7,2</t>
  </si>
  <si>
    <t xml:space="preserve">Yee Ø 4"  PVC  </t>
  </si>
  <si>
    <t>15,7,3</t>
  </si>
  <si>
    <t xml:space="preserve">Codos Ø 4" de 90° PVC  </t>
  </si>
  <si>
    <t>15,7,4</t>
  </si>
  <si>
    <t xml:space="preserve">Tee Ø 4" X 4" PVC REDE 21 BXB </t>
  </si>
  <si>
    <t>15,7,5</t>
  </si>
  <si>
    <t xml:space="preserve">Tubería a válvulas Ø 4" PVC </t>
  </si>
  <si>
    <t>ML</t>
  </si>
  <si>
    <t>15,7,6</t>
  </si>
  <si>
    <t>J30</t>
  </si>
  <si>
    <t xml:space="preserve">Tubería perforada Ø 4" </t>
  </si>
  <si>
    <t>15,8,1</t>
  </si>
  <si>
    <t>Tubería 6" PVC RDE 21</t>
  </si>
  <si>
    <t xml:space="preserve">2. EQUIPOS ELÉCTRICOS </t>
  </si>
  <si>
    <t xml:space="preserve">16. SUMINISTRO E INSTALACIÓN DE EQUIPOS ELÉCTRICOS </t>
  </si>
  <si>
    <t>ESTRUCTURAS RED MT Y BT  PROYECTADAS</t>
  </si>
  <si>
    <t>16,1,1</t>
  </si>
  <si>
    <t>SE6</t>
  </si>
  <si>
    <t>Estructura  norma la220 o similar - sin templetes</t>
  </si>
  <si>
    <t>16,1,2</t>
  </si>
  <si>
    <t>SE7</t>
  </si>
  <si>
    <t>Estructura norma la218 o similar - sin templetes</t>
  </si>
  <si>
    <t>16,1,3</t>
  </si>
  <si>
    <t>SE8</t>
  </si>
  <si>
    <t>Estructura la206 o similar - sin templete</t>
  </si>
  <si>
    <t>16,1,4</t>
  </si>
  <si>
    <t>SE9</t>
  </si>
  <si>
    <t>Estructura norma la203 o similar</t>
  </si>
  <si>
    <t>16,1,5</t>
  </si>
  <si>
    <t>SE11</t>
  </si>
  <si>
    <t>Estructura norma la232 o similar - sin templete</t>
  </si>
  <si>
    <t>16,1,6</t>
  </si>
  <si>
    <t>SE12</t>
  </si>
  <si>
    <t>Estructura norma la211 o similar -sin templete</t>
  </si>
  <si>
    <t>16,1,7</t>
  </si>
  <si>
    <t>SE14</t>
  </si>
  <si>
    <t>Estructura norma la411(mt) - templete media tensión</t>
  </si>
  <si>
    <t>CONDUCTORES RED MT PROYECTADA</t>
  </si>
  <si>
    <t>16,2,1</t>
  </si>
  <si>
    <t>SE15</t>
  </si>
  <si>
    <t>Suministro e instalación de cable acsr calibre 2 para red mt</t>
  </si>
  <si>
    <t>16,2,2</t>
  </si>
  <si>
    <t>SE16</t>
  </si>
  <si>
    <t>Suministro e instalación por ducto de cable xlpe 15 kv calibre 2, pantalla en hilos , al 100%</t>
  </si>
  <si>
    <t xml:space="preserve">POSTES DE CONCRETO </t>
  </si>
  <si>
    <t>16,3,1</t>
  </si>
  <si>
    <t>SE17</t>
  </si>
  <si>
    <t>Suministro, transporte, arrimada - hoyada, hincada y aplomada de  poste de concreto de 12m x 510</t>
  </si>
  <si>
    <t>16,3,2</t>
  </si>
  <si>
    <t>SE19</t>
  </si>
  <si>
    <t>Suministro, transporte, arrimada - hoyada, hincada y aplomada de  poste de concreto de 12m x 1050</t>
  </si>
  <si>
    <t>SUBESTACIONES Y  CELDA</t>
  </si>
  <si>
    <t>16,4,1</t>
  </si>
  <si>
    <t>SE20</t>
  </si>
  <si>
    <t>centro de transformación  norma ctu520 - trafo de 45  kva</t>
  </si>
  <si>
    <t>CONDUCTORES ACOMETIDAS EXTERIORES BT POR DUCTOS</t>
  </si>
  <si>
    <t>16,5,1</t>
  </si>
  <si>
    <t>SE22</t>
  </si>
  <si>
    <t xml:space="preserve">Suministro e instalación de arreglo de conductores  por ducto 3#1/0+1#1/0 cu thhn </t>
  </si>
  <si>
    <t>16,5,2</t>
  </si>
  <si>
    <t>SE23</t>
  </si>
  <si>
    <t>Suministro e instalación de arreglo de conductores  por ducto 3#8+1#8 - cu thhn+1#10(t)</t>
  </si>
  <si>
    <t>16,5,3</t>
  </si>
  <si>
    <t>SE25</t>
  </si>
  <si>
    <t>Acometida bifasica por ducto en cable de cobre aislado 2#8 thhn+1#10(t)</t>
  </si>
  <si>
    <t>16,5,4</t>
  </si>
  <si>
    <t>SE27</t>
  </si>
  <si>
    <t>Acometida bifasica por ducto en cable de cobre aislado 2#10 thhn+1#12(t)</t>
  </si>
  <si>
    <t>16,5,5</t>
  </si>
  <si>
    <t>SE28</t>
  </si>
  <si>
    <t>Acometida trifásica por ducto  en cable de cobre aislado 3#10 thhn+1#10(t)+1x3x14 sjt(encauchetado)</t>
  </si>
  <si>
    <t>CONDUCTOR ACOMETIDAS EN BT Y DUCTOS EN CASETAS</t>
  </si>
  <si>
    <t>16,6,1</t>
  </si>
  <si>
    <t>SE31</t>
  </si>
  <si>
    <t>Tubo pvc 1 x 3"  por placa o pared</t>
  </si>
  <si>
    <t>16,6,2</t>
  </si>
  <si>
    <t>SE33</t>
  </si>
  <si>
    <t>Tubo pvc 1 x 1 1/4"  por placa o pared</t>
  </si>
  <si>
    <t>16,6,3</t>
  </si>
  <si>
    <t>SE36</t>
  </si>
  <si>
    <t>tubería  emt 1 x 1 1/4" - adosada apared -incluye accesorios y soportes</t>
  </si>
  <si>
    <t>16,6,4</t>
  </si>
  <si>
    <t>SE38</t>
  </si>
  <si>
    <t>Suministro e instalación de arreglo de conductores por ducto en  3#2/0+1#1/0  - cobre aislado thhn</t>
  </si>
  <si>
    <t>16,6,5</t>
  </si>
  <si>
    <t>SE39</t>
  </si>
  <si>
    <t>Suministro e instalación de arreglo de conductores  por ducto 3#1/0+1#1/0 cu thhn + 1#2(t)</t>
  </si>
  <si>
    <t>16,6,6</t>
  </si>
  <si>
    <t>SE40</t>
  </si>
  <si>
    <t>Suministró e instalación de arreglo de conductores  por ducto 3#6+1#8(t) - cu thhn</t>
  </si>
  <si>
    <t>16,6,7</t>
  </si>
  <si>
    <t>SE41</t>
  </si>
  <si>
    <t>Acometida  trifásica por ducto en cable de cobre aislado 3#8 +1#8 thhn+1#10(t)</t>
  </si>
  <si>
    <t>16,6,8</t>
  </si>
  <si>
    <t>SE42</t>
  </si>
  <si>
    <t>Acometida  trifásica por ducto en cable de cobre aislado 3#8 thhn+1#10(t)</t>
  </si>
  <si>
    <t>16,6,9</t>
  </si>
  <si>
    <t>SE47</t>
  </si>
  <si>
    <t>BANCO DE DUCTOS Y CAMARAS DE INSPECCION</t>
  </si>
  <si>
    <t>16,7,1</t>
  </si>
  <si>
    <t>SE48</t>
  </si>
  <si>
    <t>cámara de inspección baja tensión norma cs274 - incluye marco y tapa</t>
  </si>
  <si>
    <t>16,7,2</t>
  </si>
  <si>
    <t>SE49</t>
  </si>
  <si>
    <t>cámara de inspección baja - media tensión norma cs275 - incluye marco y tapa</t>
  </si>
  <si>
    <t>16,7,3</t>
  </si>
  <si>
    <t>SE51</t>
  </si>
  <si>
    <t>Banco de ductos 4x4"</t>
  </si>
  <si>
    <t>16,7,4</t>
  </si>
  <si>
    <t>SE53</t>
  </si>
  <si>
    <t xml:space="preserve">Banco de ductos según norma cs207 - en 2 x 3" </t>
  </si>
  <si>
    <t>16,7,5</t>
  </si>
  <si>
    <t>SE54</t>
  </si>
  <si>
    <t>Banco de ductos 2x1 1/4" pvc - (norma cs207)</t>
  </si>
  <si>
    <t>16,7,6</t>
  </si>
  <si>
    <t>SE56</t>
  </si>
  <si>
    <t>Banco de ductos 4x1 1/4" pvc - (norma cs207)</t>
  </si>
  <si>
    <t>16,7,7</t>
  </si>
  <si>
    <t>SE58</t>
  </si>
  <si>
    <t>Banco de ductos 6x1 1/4" pvc - (norma cs207)</t>
  </si>
  <si>
    <t>16,7,8</t>
  </si>
  <si>
    <t>SE60</t>
  </si>
  <si>
    <t>Banco de ductos 10x1 1/4" pvc - (norma cs207)</t>
  </si>
  <si>
    <t>16,7,9</t>
  </si>
  <si>
    <t>SE61</t>
  </si>
  <si>
    <t>Banco de ductos 12x1 1/4" pvc - (norma cs207)</t>
  </si>
  <si>
    <t>16,7,10</t>
  </si>
  <si>
    <t>SE62</t>
  </si>
  <si>
    <t>Tubo pvc 18 x 1 1/4" - enterrado  similar norma cs207</t>
  </si>
  <si>
    <t>16,7,11</t>
  </si>
  <si>
    <t>SE63</t>
  </si>
  <si>
    <t>Tubo pvc 24 x 1 1/4" - enterrado  similar norma cs207</t>
  </si>
  <si>
    <t>SISTEMA DE ALUMBRADO EXTERIOR</t>
  </si>
  <si>
    <t>16,8,1</t>
  </si>
  <si>
    <t>SE64</t>
  </si>
  <si>
    <t>Red alumbrado publico por ducto en cable de cobre  aislado  3#8 thhhn +1#10(t)</t>
  </si>
  <si>
    <t>16,8,2</t>
  </si>
  <si>
    <t>SE65</t>
  </si>
  <si>
    <t>Red alumbrado publico por ducto en cable de cobre  aislado  3#10 thhhn +1#12(t)</t>
  </si>
  <si>
    <t>16,8,3</t>
  </si>
  <si>
    <t>SE66</t>
  </si>
  <si>
    <t>Red alumbrado publico por ducto en cable de cobre  aislado  2#10 thhhn +1#12(t)</t>
  </si>
  <si>
    <t>16,8,4</t>
  </si>
  <si>
    <t>SE67</t>
  </si>
  <si>
    <t>Suministró e instalación de poste metálico de 9m con base y aterrizaje para alumbrado publico</t>
  </si>
  <si>
    <t>16,8,5</t>
  </si>
  <si>
    <t>SE68</t>
  </si>
  <si>
    <t>Suministró e instalación de luminaria cerrada sodio 70w-220v - con fotocelda y brazo</t>
  </si>
  <si>
    <t>MALLA DE PUESTA A TIERRA</t>
  </si>
  <si>
    <t>16,9,1</t>
  </si>
  <si>
    <t>SE69</t>
  </si>
  <si>
    <t>Suministró e instalación de electrodo de puesta a tierra 5/8 x 2.4 mts</t>
  </si>
  <si>
    <t>16,9,2</t>
  </si>
  <si>
    <t>SE70</t>
  </si>
  <si>
    <t>Suministró e instalación de cable de cobre desnudo calibre 2</t>
  </si>
  <si>
    <t>16,9,3</t>
  </si>
  <si>
    <t>SE71</t>
  </si>
  <si>
    <t>Suministró y aplicación de soldadura  exotérmica 115 gr - incluye molde</t>
  </si>
  <si>
    <t>16,9,4</t>
  </si>
  <si>
    <t>SE72</t>
  </si>
  <si>
    <t>caja de inspección 30x30 con marco y tapa - para puesta a tierra</t>
  </si>
  <si>
    <t>16,9,5</t>
  </si>
  <si>
    <t>SE73</t>
  </si>
  <si>
    <t>Suministró e instalación de tierra artificial favigel, hidrogel, hidrosolta</t>
  </si>
  <si>
    <t>INSTALACIONES INTERNAS</t>
  </si>
  <si>
    <t>16,10,1</t>
  </si>
  <si>
    <t>SE74</t>
  </si>
  <si>
    <t>Salida para iluminación en ducto pvc -alambre de cobre thhn ( no incluye luminarias)</t>
  </si>
  <si>
    <t>16,10,2</t>
  </si>
  <si>
    <t>SE75</t>
  </si>
  <si>
    <t>Salida para interruptor sencillo  en ducto pvc -alambre de cobre thhn  incluye interruptor sencillo leviton</t>
  </si>
  <si>
    <t>16,10,3</t>
  </si>
  <si>
    <t>SE77</t>
  </si>
  <si>
    <t>Salida para toma doble con polo a tierra  en ducto pvc -alambre de cobre thhn  incluye toma</t>
  </si>
  <si>
    <t>16,10,4</t>
  </si>
  <si>
    <t>SE79</t>
  </si>
  <si>
    <t>Salida para toma bifasica 220v-20a   en ducto pvc -alambre de cobre thhn  incluye toma</t>
  </si>
  <si>
    <t>16,10,5</t>
  </si>
  <si>
    <t>SE80</t>
  </si>
  <si>
    <t>Salida para toma trifásica 220v-20a   en ducto pvc -alambre de cobre thhn  incluye toma</t>
  </si>
  <si>
    <t>16,10,6</t>
  </si>
  <si>
    <t>SE81</t>
  </si>
  <si>
    <t>suministro e instalación de luminaria  fluorescente hermetica 2x54w - t5 - balastro electrónico multi tensión</t>
  </si>
  <si>
    <t>16,10,7</t>
  </si>
  <si>
    <t>SE82</t>
  </si>
  <si>
    <t>Salida iluminación -antiexplosion - no incluye luminaria - ducto imc -alambre cobre - incluye accesorios</t>
  </si>
  <si>
    <t>16,10,8</t>
  </si>
  <si>
    <t>SE83</t>
  </si>
  <si>
    <t>Salida interptor sencillo -antiexplosion - en  ducto imc -alambre cobre - incluye accesorios - incluye interruptor</t>
  </si>
  <si>
    <t>16,10,9</t>
  </si>
  <si>
    <t>SE84</t>
  </si>
  <si>
    <t>Salida toma doble -antiexplosion - en  ducto imc -alambre cobre - incluye accesorios - incluye toma leviton</t>
  </si>
  <si>
    <t>16,10,10</t>
  </si>
  <si>
    <t>SE85</t>
  </si>
  <si>
    <t>Salida  acometida 220v  -antiexplosion - en  ducto imc -alambre cobre - incluye accesorios -  no incluye toma</t>
  </si>
  <si>
    <t>16,10,11</t>
  </si>
  <si>
    <t>SE86</t>
  </si>
  <si>
    <t>arrancador directo 220v -contactor  3hp - 220v</t>
  </si>
  <si>
    <t>16,10,12</t>
  </si>
  <si>
    <t>SE87</t>
  </si>
  <si>
    <t>Suministró e instalación luminaria seguridad 2x32w  - t8</t>
  </si>
  <si>
    <t>TABLEROS Y BREAKERS</t>
  </si>
  <si>
    <t>16,11,1</t>
  </si>
  <si>
    <t>SE88</t>
  </si>
  <si>
    <t>Suministró e instalación de Tablero 3f de 18  ctos con espacio totalizador - con Puerta y chapa - barras de tierra y neutro</t>
  </si>
  <si>
    <t>16,11,2</t>
  </si>
  <si>
    <t>SE89</t>
  </si>
  <si>
    <t>Suministró e instalación de breaker enchufable  monopolar de 15 o 20 a</t>
  </si>
  <si>
    <t>16,11,3</t>
  </si>
  <si>
    <t>SE90</t>
  </si>
  <si>
    <t>Suministró e instalación de breaker enchufable  bipolar de 20 a 40 a</t>
  </si>
  <si>
    <t>16,11,4</t>
  </si>
  <si>
    <t>SE91</t>
  </si>
  <si>
    <t>Suministró e instalación de breaker enchufable  tripolar de 20 a 50 a</t>
  </si>
  <si>
    <t>16,11,5</t>
  </si>
  <si>
    <t>SE92</t>
  </si>
  <si>
    <t>Suministró e instalación de breaker industrial  regulable tripolar 3x(28-40)a - 25 ka</t>
  </si>
  <si>
    <t>16,11,6</t>
  </si>
  <si>
    <t>SE94</t>
  </si>
  <si>
    <t>Suministró e instalación de breaker industrial  regulable tripolar 3x(44-63)a - 25 ka</t>
  </si>
  <si>
    <t>16,11,7</t>
  </si>
  <si>
    <t>SE97</t>
  </si>
  <si>
    <t>Tablero control, operación y protección a motores - incluye contactores - gabinete - breker industrial - breaker riel  y accesorios ( tp-bfp1 )</t>
  </si>
  <si>
    <t>16,11,8</t>
  </si>
  <si>
    <t>SE98</t>
  </si>
  <si>
    <t>Tablero control, operación y protección a motores - incluye contactores - gabinete - breker industrial - breaker riel  y accesorios (tp-bfp2)</t>
  </si>
  <si>
    <t>16,11,9</t>
  </si>
  <si>
    <t>SE99</t>
  </si>
  <si>
    <t>Tablero control, operación y protección a motores - incluye contactores - gabinete - breker industrial - breaker riel  y accesorios (tp-mfp)</t>
  </si>
  <si>
    <t>16,11,10</t>
  </si>
  <si>
    <t>SE100</t>
  </si>
  <si>
    <t>Tablero control, operación y protección a motores - incluye contactores - gabinete - breker industrial - breaker riel  y accesorios  ( tp-bls)</t>
  </si>
  <si>
    <t>16,11,11</t>
  </si>
  <si>
    <t>SE101</t>
  </si>
  <si>
    <t xml:space="preserve">Tablero control, operación y protección a motores - incluye contactores - gabinete - breker industrial - breaker riel  y accesorios (tp-bel) </t>
  </si>
  <si>
    <t>16,11,12</t>
  </si>
  <si>
    <t>SE102</t>
  </si>
  <si>
    <t>Grupo de medida - norma ae319</t>
  </si>
  <si>
    <t>16,11,13</t>
  </si>
  <si>
    <t>SE103</t>
  </si>
  <si>
    <t>Tablero general de acometidas  a 220  - tga-220</t>
  </si>
  <si>
    <t>16,11,14</t>
  </si>
  <si>
    <t>SE104</t>
  </si>
  <si>
    <t>Tablero banco de condensadores a 220  - fijo y variable</t>
  </si>
  <si>
    <t>16,11,15</t>
  </si>
  <si>
    <t>SE105</t>
  </si>
  <si>
    <t>Transferencia automática para 50 kva</t>
  </si>
  <si>
    <t>16,11,16</t>
  </si>
  <si>
    <t>SE106</t>
  </si>
  <si>
    <t>Planta de emergencia de 50 kva- 220/127 v - con accesorios - ductos y cabina insonorizacion</t>
  </si>
  <si>
    <t>CERTIFICACUIONES - REPLANTEOS - MANIOBRAS</t>
  </si>
  <si>
    <t>16,12,1</t>
  </si>
  <si>
    <t>SE107</t>
  </si>
  <si>
    <t xml:space="preserve">Certificación retie </t>
  </si>
  <si>
    <t>16,12,2</t>
  </si>
  <si>
    <t>SE108</t>
  </si>
  <si>
    <t>Maniobras en línea viva o desconexión de circuito</t>
  </si>
  <si>
    <t>16,12,3</t>
  </si>
  <si>
    <t>SE109</t>
  </si>
  <si>
    <t>Derechos de energización  y revisión proyecto a pagar  a el operador de red</t>
  </si>
  <si>
    <t>16,12,4</t>
  </si>
  <si>
    <t>SE110</t>
  </si>
  <si>
    <t>costo por montaje e instalación de medidor a pagar al operador de red</t>
  </si>
  <si>
    <t>16,12,5</t>
  </si>
  <si>
    <t>SE111</t>
  </si>
  <si>
    <t>Diseño eléctrico - aprobación ante operador de red</t>
  </si>
  <si>
    <t>16,12,6</t>
  </si>
  <si>
    <t>SE112</t>
  </si>
  <si>
    <t>Replanteo redes de bt y mt</t>
  </si>
  <si>
    <t xml:space="preserve">3.  EQUIPOS DE TRATAMIENTO </t>
  </si>
  <si>
    <t xml:space="preserve">17. SUMINISTRO E INSTALACIÓN DE EQUIPOS DE TRATAMIENTO </t>
  </si>
  <si>
    <t xml:space="preserve">TRATAMIENTO PRELIMINAR </t>
  </si>
  <si>
    <t>17,1,1</t>
  </si>
  <si>
    <t>H1</t>
  </si>
  <si>
    <t>Vertedero Sutro en fibra de vidrio  0.6 m x 0.96 m   e = 5mm</t>
  </si>
  <si>
    <t>17,1,2</t>
  </si>
  <si>
    <t>F6</t>
  </si>
  <si>
    <t>Compuertas manual en acrílico 0.7 m x 1.125 m e = 2 mm, con manija</t>
  </si>
  <si>
    <t>17,1,3</t>
  </si>
  <si>
    <t>F7</t>
  </si>
  <si>
    <t>Compuertas metálicas en acero inoxidable deslizantes con ruedas de manejo 600 mm</t>
  </si>
  <si>
    <t xml:space="preserve">ESTACIÓN DE BOMBEO </t>
  </si>
  <si>
    <t>17,2,1</t>
  </si>
  <si>
    <t>H2</t>
  </si>
  <si>
    <t>Bomba sumergible de 6" 60 HZ, 34 l/s, Altura dinámica = 10,0 m</t>
  </si>
  <si>
    <t xml:space="preserve">FILTRO PERCOLADOR </t>
  </si>
  <si>
    <t>17,3,1</t>
  </si>
  <si>
    <t>H3</t>
  </si>
  <si>
    <t xml:space="preserve">Distribuidor para filtro percolador de 10,3 m de diámetro </t>
  </si>
  <si>
    <t>17,3,2</t>
  </si>
  <si>
    <t>H4</t>
  </si>
  <si>
    <t xml:space="preserve">Medio Plástico  para filtro  percolador Brentwood o similar </t>
  </si>
  <si>
    <t xml:space="preserve">SEDIMENTADOR </t>
  </si>
  <si>
    <t>17,4,1</t>
  </si>
  <si>
    <t>H5</t>
  </si>
  <si>
    <t xml:space="preserve"> Puente Barredor para clarificador  de 12,3 m de diámetro </t>
  </si>
  <si>
    <t xml:space="preserve">CASETA DE CLORACIÓN </t>
  </si>
  <si>
    <t>17,5,1</t>
  </si>
  <si>
    <t>H6</t>
  </si>
  <si>
    <t>Sistema de cloro gaseoso con intercambio Automático, Q= 43,7 L/S , Concentración: 5 ppm</t>
  </si>
  <si>
    <t>17,5,2</t>
  </si>
  <si>
    <t>H7</t>
  </si>
  <si>
    <t xml:space="preserve">Equipos Para Automatización Dosificación Cloro o similar </t>
  </si>
  <si>
    <t xml:space="preserve">BOMBEO DE LODOS </t>
  </si>
  <si>
    <t>17,6,1</t>
  </si>
  <si>
    <t>H8</t>
  </si>
  <si>
    <t>Bomba sumergible de 2"  1  Hp, 8,0  l/s, Altura dinámica = 8,0  m</t>
  </si>
  <si>
    <t xml:space="preserve">ESPESADOR DE LODOS  </t>
  </si>
  <si>
    <t>17,7,1</t>
  </si>
  <si>
    <t>H9</t>
  </si>
  <si>
    <t xml:space="preserve">Tanque en fibra de vidrio Ø 3,10 m incluye agitador y tuberías y accesorios </t>
  </si>
  <si>
    <t xml:space="preserve">UN </t>
  </si>
  <si>
    <t xml:space="preserve">TANQUE ALCALINO  </t>
  </si>
  <si>
    <t>17,8,1</t>
  </si>
  <si>
    <t>H10</t>
  </si>
  <si>
    <t>Tanque en fibra de vidrio Ø 0,70 m  tuberías y accesorio</t>
  </si>
  <si>
    <t xml:space="preserve">4, ARRANQUE Y PUESTA EN MARCHA </t>
  </si>
  <si>
    <t>I1</t>
  </si>
  <si>
    <t xml:space="preserve">Arranque, puesta en marcha y mantenimiento y operación </t>
  </si>
  <si>
    <t>GL</t>
  </si>
  <si>
    <t>TOTAL    $</t>
  </si>
  <si>
    <t>AIU (35%)    $</t>
  </si>
  <si>
    <t>complemento al diseño de la planta de tratamiento de aguas residuales del municipio de Tocaima</t>
  </si>
  <si>
    <t>INTERVENTORÍA OBRA (10%)$</t>
  </si>
  <si>
    <t>INTERVENTORÍA COMPLEMENTO AL DISEÑO (10%)$</t>
  </si>
  <si>
    <t>SUB TOTAL INTERVENTORIA $</t>
  </si>
  <si>
    <t>VALOR TOTAL PROYECTO  $</t>
  </si>
  <si>
    <t>LISTA DE CANTIDADES Y PRECIOS</t>
  </si>
  <si>
    <t>CONTRATO No. 543-10, COA6925</t>
  </si>
  <si>
    <t>DISEÑOS DE DETALLE PARA LA CONSTRUCCIÓN DE OBRAS DE SANEAMIENTO EN LOS MUNICIPIOS DE LA CUENCA DEL RIO BOGOTÁ, PAQUETE  2.</t>
  </si>
  <si>
    <t xml:space="preserve"> MUNICIPIO TOCAIMA FASE I AÑO 2025</t>
  </si>
  <si>
    <t>PLANTA DE TRATAMIENTO DE AGUA RESIDUAL (FILTROS PERCOLADORES)</t>
  </si>
  <si>
    <t xml:space="preserve"> 1. ESPESADOR DE LODOS  </t>
  </si>
  <si>
    <r>
      <t xml:space="preserve">Tanque en fibra de vidrio </t>
    </r>
    <r>
      <rPr>
        <sz val="10"/>
        <rFont val="Calibri"/>
        <family val="2"/>
      </rPr>
      <t xml:space="preserve">Ø 3,10 m incluye agitador y tuberias y accesorios </t>
    </r>
  </si>
  <si>
    <t>1,2,1</t>
  </si>
  <si>
    <t xml:space="preserve">Tuberia 4" PVC RDE 21 Espesador a Tanque alcalino </t>
  </si>
  <si>
    <t>1,2,2</t>
  </si>
  <si>
    <t>1,2,3</t>
  </si>
  <si>
    <t>1,2,4</t>
  </si>
  <si>
    <t xml:space="preserve">Tuberia 6" PVC Espesador a Lecho de Secado </t>
  </si>
  <si>
    <t>1,2,5</t>
  </si>
  <si>
    <t xml:space="preserve">Codo de 90 PVC 6" Espesador a Lecho de Secado </t>
  </si>
  <si>
    <t>1,2,6</t>
  </si>
  <si>
    <t xml:space="preserve"> 2. TANQUE ALCALINO  </t>
  </si>
  <si>
    <r>
      <t xml:space="preserve">Tanque en fibra de vidrio </t>
    </r>
    <r>
      <rPr>
        <sz val="10"/>
        <rFont val="Calibri"/>
        <family val="2"/>
      </rPr>
      <t>Ø 0,70 m  tuberias y accesorio</t>
    </r>
  </si>
  <si>
    <t xml:space="preserve">Tuberia 4" PVC Tanque alcalino a lecho de secado </t>
  </si>
  <si>
    <t>2,2,2</t>
  </si>
  <si>
    <t xml:space="preserve">3. LECHO DE SECADO 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</si>
  <si>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</si>
  <si>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</si>
  <si>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3,1,3</t>
  </si>
  <si>
    <t>Excavación de material común  de 1,5 a 3,0 m (maquinaria)</t>
  </si>
  <si>
    <t>3,1,4</t>
  </si>
  <si>
    <t>3,1,5</t>
  </si>
  <si>
    <t>Acero de refuerzo  (60,000 psi)</t>
  </si>
  <si>
    <t xml:space="preserve">Cercha metalica </t>
  </si>
  <si>
    <r>
      <t xml:space="preserve">Valvula </t>
    </r>
    <r>
      <rPr>
        <sz val="8"/>
        <rFont val="Symbol"/>
        <family val="1"/>
        <charset val="2"/>
      </rPr>
      <t>f</t>
    </r>
    <r>
      <rPr>
        <sz val="8"/>
        <rFont val="Arial"/>
        <family val="2"/>
      </rPr>
      <t xml:space="preserve"> 4"  (Mariposa)</t>
    </r>
  </si>
  <si>
    <t>3,7,2</t>
  </si>
  <si>
    <r>
      <t xml:space="preserve">Yee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4"  PVC </t>
    </r>
  </si>
  <si>
    <t>3,7,3</t>
  </si>
  <si>
    <r>
      <t xml:space="preserve">Codos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4" de 90</t>
    </r>
    <r>
      <rPr>
        <sz val="10"/>
        <rFont val="Symbol"/>
        <family val="1"/>
        <charset val="2"/>
      </rPr>
      <t>°</t>
    </r>
  </si>
  <si>
    <t>3,7,4</t>
  </si>
  <si>
    <t>Tees de 4" a 6"</t>
  </si>
  <si>
    <t>3,7,5</t>
  </si>
  <si>
    <r>
      <t xml:space="preserve">Tuberia a valvulas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4"</t>
    </r>
  </si>
  <si>
    <t>3,7,6</t>
  </si>
  <si>
    <r>
      <t xml:space="preserve">Tuberia perforada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4"</t>
    </r>
  </si>
  <si>
    <t>3,8,1</t>
  </si>
  <si>
    <t>Tuberia 6" PVC</t>
  </si>
  <si>
    <t>SUBTOTAL   $</t>
  </si>
  <si>
    <t xml:space="preserve">SUMINISTRO E INSTALACIÓN DE EQUIPO </t>
  </si>
  <si>
    <t>Planta Desihidratadora de Lodos biológicos aeróbicos</t>
  </si>
  <si>
    <t xml:space="preserve">Decantador Centrifuga ALDEC 20 o similar </t>
  </si>
  <si>
    <t>Bomba de alimentación de lodos de cavidad progresiva</t>
  </si>
  <si>
    <t>Tanque de dosificación y mezcla de polímero</t>
  </si>
  <si>
    <t xml:space="preserve">Bomba de dosificación de polímero de cavidad progresiva </t>
  </si>
  <si>
    <t xml:space="preserve">Tanques espesador de lodos con motoreductor y aspas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</si>
</sst>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;[Red]&quot;$&quot;\ \-#,##0"/>
    <numFmt numFmtId="167" formatCode="_([$€]* #,##0.00_);_([$€]* \(#,##0.00\);_([$€]* &quot;-&quot;??_);_(@_)"/>
    <numFmt numFmtId="168" formatCode="_ * #,##0.0_ ;_ * \-#,##0.0_ ;_ * &quot;-&quot;?_ ;_ @_ "/>
    <numFmt numFmtId="169" formatCode="_-* #,##0.00\ [$€]_-;\-* #,##0.00\ [$€]_-;_-* &quot;-&quot;??\ [$€]_-;_-@_-"/>
    <numFmt numFmtId="170" formatCode="_ * #,##0_ ;_ * \-#,##0_ ;_ * &quot;-&quot;??_ ;_ @_ 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Symbol"/>
      <family val="1"/>
      <charset val="2"/>
    </font>
    <font>
      <sz val="10"/>
      <name val="Symbol"/>
      <family val="1"/>
      <charset val="2"/>
    </font>
    <font>
      <sz val="10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9" fillId="0" borderId="1" applyNumberFormat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16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/>
    <xf numFmtId="0" fontId="2" fillId="0" borderId="3" xfId="7" applyFont="1" applyBorder="1" applyAlignment="1">
      <alignment vertical="center" wrapText="1"/>
    </xf>
    <xf numFmtId="0" fontId="4" fillId="0" borderId="3" xfId="7" applyFont="1" applyBorder="1" applyAlignment="1">
      <alignment vertical="center" wrapText="1"/>
    </xf>
    <xf numFmtId="0" fontId="4" fillId="0" borderId="3" xfId="7" applyFont="1" applyBorder="1" applyAlignment="1">
      <alignment horizontal="center" vertical="center" wrapText="1"/>
    </xf>
    <xf numFmtId="4" fontId="4" fillId="0" borderId="3" xfId="7" applyNumberFormat="1" applyFont="1" applyBorder="1" applyAlignment="1">
      <alignment horizontal="center" vertical="center" wrapText="1"/>
    </xf>
    <xf numFmtId="3" fontId="4" fillId="0" borderId="3" xfId="7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5" xfId="7" applyFont="1" applyBorder="1" applyAlignment="1">
      <alignment vertical="center" wrapText="1"/>
    </xf>
    <xf numFmtId="0" fontId="4" fillId="0" borderId="5" xfId="7" applyFont="1" applyBorder="1" applyAlignment="1">
      <alignment horizontal="center" vertical="center" wrapText="1"/>
    </xf>
    <xf numFmtId="4" fontId="4" fillId="0" borderId="5" xfId="7" applyNumberFormat="1" applyFont="1" applyBorder="1" applyAlignment="1">
      <alignment horizontal="center" vertical="center" wrapText="1"/>
    </xf>
    <xf numFmtId="3" fontId="4" fillId="0" borderId="6" xfId="7" applyNumberFormat="1" applyFont="1" applyBorder="1" applyAlignment="1">
      <alignment horizontal="center" vertical="center" wrapText="1"/>
    </xf>
    <xf numFmtId="3" fontId="4" fillId="0" borderId="4" xfId="7" applyNumberFormat="1" applyFont="1" applyBorder="1" applyAlignment="1">
      <alignment vertical="center" wrapText="1"/>
    </xf>
    <xf numFmtId="3" fontId="10" fillId="0" borderId="3" xfId="7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7" applyFont="1" applyBorder="1" applyAlignment="1">
      <alignment vertical="center" wrapText="1"/>
    </xf>
    <xf numFmtId="0" fontId="10" fillId="0" borderId="3" xfId="7" applyFont="1" applyBorder="1" applyAlignment="1">
      <alignment horizontal="center" vertical="center" wrapText="1"/>
    </xf>
    <xf numFmtId="4" fontId="10" fillId="0" borderId="3" xfId="7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2" xfId="0" applyFont="1" applyBorder="1"/>
    <xf numFmtId="3" fontId="4" fillId="0" borderId="0" xfId="0" applyNumberFormat="1" applyFont="1"/>
    <xf numFmtId="0" fontId="2" fillId="0" borderId="3" xfId="7" applyFont="1" applyBorder="1" applyAlignment="1">
      <alignment horizontal="center" vertical="center" wrapText="1"/>
    </xf>
    <xf numFmtId="4" fontId="2" fillId="0" borderId="3" xfId="7" applyNumberFormat="1" applyFont="1" applyBorder="1" applyAlignment="1">
      <alignment horizontal="center" vertical="center" wrapText="1"/>
    </xf>
    <xf numFmtId="0" fontId="2" fillId="0" borderId="3" xfId="7" quotePrefix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3" fontId="10" fillId="0" borderId="4" xfId="7" applyNumberFormat="1" applyFont="1" applyBorder="1" applyAlignment="1">
      <alignment vertical="center" wrapText="1"/>
    </xf>
    <xf numFmtId="0" fontId="2" fillId="0" borderId="14" xfId="7" applyFont="1" applyBorder="1" applyAlignment="1">
      <alignment horizontal="left" vertical="center" wrapText="1"/>
    </xf>
    <xf numFmtId="0" fontId="2" fillId="0" borderId="15" xfId="7" applyFont="1" applyBorder="1" applyAlignment="1">
      <alignment horizontal="left" vertical="center" wrapText="1"/>
    </xf>
    <xf numFmtId="4" fontId="11" fillId="2" borderId="21" xfId="7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left" vertical="center" wrapText="1"/>
    </xf>
    <xf numFmtId="0" fontId="12" fillId="0" borderId="0" xfId="0" applyFont="1"/>
    <xf numFmtId="4" fontId="4" fillId="0" borderId="14" xfId="7" applyNumberFormat="1" applyFont="1" applyBorder="1" applyAlignment="1">
      <alignment horizontal="center" vertical="center" wrapText="1"/>
    </xf>
    <xf numFmtId="0" fontId="4" fillId="0" borderId="2" xfId="7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/>
    <xf numFmtId="0" fontId="17" fillId="0" borderId="3" xfId="7" applyFont="1" applyBorder="1" applyAlignment="1">
      <alignment horizontal="center" vertical="center" wrapText="1"/>
    </xf>
    <xf numFmtId="4" fontId="17" fillId="0" borderId="3" xfId="7" applyNumberFormat="1" applyFont="1" applyBorder="1" applyAlignment="1">
      <alignment horizontal="center" vertical="center" wrapText="1"/>
    </xf>
    <xf numFmtId="0" fontId="17" fillId="0" borderId="3" xfId="7" quotePrefix="1" applyFont="1" applyBorder="1" applyAlignment="1">
      <alignment horizontal="center" vertical="center" wrapText="1"/>
    </xf>
    <xf numFmtId="0" fontId="1" fillId="0" borderId="0" xfId="0" applyFont="1"/>
    <xf numFmtId="0" fontId="17" fillId="0" borderId="2" xfId="7" applyFont="1" applyBorder="1" applyAlignment="1">
      <alignment horizontal="left" vertical="center" wrapText="1"/>
    </xf>
    <xf numFmtId="0" fontId="17" fillId="0" borderId="3" xfId="7" applyFont="1" applyBorder="1" applyAlignment="1">
      <alignment vertical="center" wrapText="1"/>
    </xf>
    <xf numFmtId="0" fontId="1" fillId="0" borderId="3" xfId="7" applyBorder="1" applyAlignment="1">
      <alignment vertical="center" wrapText="1"/>
    </xf>
    <xf numFmtId="4" fontId="1" fillId="0" borderId="3" xfId="7" applyNumberFormat="1" applyBorder="1" applyAlignment="1">
      <alignment horizontal="center" vertical="center" wrapText="1"/>
    </xf>
    <xf numFmtId="0" fontId="1" fillId="0" borderId="3" xfId="7" applyBorder="1" applyAlignment="1">
      <alignment horizontal="center" vertical="center" wrapText="1"/>
    </xf>
    <xf numFmtId="4" fontId="1" fillId="0" borderId="4" xfId="7" applyNumberFormat="1" applyBorder="1" applyAlignment="1">
      <alignment vertical="center" wrapText="1"/>
    </xf>
    <xf numFmtId="0" fontId="1" fillId="0" borderId="2" xfId="0" applyFont="1" applyBorder="1"/>
    <xf numFmtId="3" fontId="1" fillId="0" borderId="3" xfId="7" applyNumberFormat="1" applyBorder="1" applyAlignment="1">
      <alignment horizontal="center" vertical="center" wrapText="1"/>
    </xf>
    <xf numFmtId="4" fontId="1" fillId="0" borderId="3" xfId="7" applyNumberFormat="1" applyBorder="1" applyAlignment="1">
      <alignment vertical="center" wrapText="1"/>
    </xf>
    <xf numFmtId="0" fontId="1" fillId="0" borderId="5" xfId="7" applyBorder="1" applyAlignment="1">
      <alignment vertical="center" wrapText="1"/>
    </xf>
    <xf numFmtId="3" fontId="1" fillId="0" borderId="6" xfId="7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9" fillId="0" borderId="2" xfId="0" applyFont="1" applyBorder="1"/>
    <xf numFmtId="0" fontId="19" fillId="0" borderId="3" xfId="7" applyFont="1" applyBorder="1" applyAlignment="1">
      <alignment vertical="center" wrapText="1"/>
    </xf>
    <xf numFmtId="0" fontId="19" fillId="0" borderId="3" xfId="7" applyFont="1" applyBorder="1" applyAlignment="1">
      <alignment horizontal="center" vertical="center" wrapText="1"/>
    </xf>
    <xf numFmtId="4" fontId="19" fillId="0" borderId="3" xfId="7" applyNumberFormat="1" applyFont="1" applyBorder="1" applyAlignment="1">
      <alignment horizontal="center" vertical="center" wrapText="1"/>
    </xf>
    <xf numFmtId="3" fontId="19" fillId="0" borderId="3" xfId="7" applyNumberFormat="1" applyFont="1" applyBorder="1" applyAlignment="1">
      <alignment horizontal="center" vertical="center" wrapText="1"/>
    </xf>
    <xf numFmtId="4" fontId="19" fillId="0" borderId="4" xfId="7" applyNumberFormat="1" applyFont="1" applyBorder="1" applyAlignment="1">
      <alignment vertical="center" wrapText="1"/>
    </xf>
    <xf numFmtId="0" fontId="19" fillId="0" borderId="0" xfId="0" applyFont="1"/>
    <xf numFmtId="4" fontId="1" fillId="0" borderId="22" xfId="7" applyNumberFormat="1" applyBorder="1" applyAlignment="1">
      <alignment vertical="center" wrapText="1"/>
    </xf>
    <xf numFmtId="4" fontId="1" fillId="0" borderId="10" xfId="7" applyNumberFormat="1" applyBorder="1" applyAlignment="1">
      <alignment vertical="center" wrapText="1"/>
    </xf>
    <xf numFmtId="0" fontId="1" fillId="0" borderId="3" xfId="0" applyFont="1" applyBorder="1"/>
    <xf numFmtId="0" fontId="20" fillId="0" borderId="2" xfId="0" applyFont="1" applyBorder="1"/>
    <xf numFmtId="0" fontId="20" fillId="0" borderId="3" xfId="7" applyFont="1" applyBorder="1" applyAlignment="1">
      <alignment vertical="center" wrapText="1"/>
    </xf>
    <xf numFmtId="0" fontId="20" fillId="0" borderId="3" xfId="7" applyFont="1" applyBorder="1" applyAlignment="1">
      <alignment horizontal="center" vertical="center" wrapText="1"/>
    </xf>
    <xf numFmtId="4" fontId="20" fillId="0" borderId="3" xfId="7" applyNumberFormat="1" applyFont="1" applyBorder="1" applyAlignment="1">
      <alignment horizontal="center" vertical="center" wrapText="1"/>
    </xf>
    <xf numFmtId="3" fontId="20" fillId="0" borderId="3" xfId="7" applyNumberFormat="1" applyFont="1" applyBorder="1" applyAlignment="1">
      <alignment horizontal="center" vertical="center" wrapText="1"/>
    </xf>
    <xf numFmtId="4" fontId="20" fillId="0" borderId="4" xfId="7" applyNumberFormat="1" applyFont="1" applyBorder="1" applyAlignment="1">
      <alignment vertical="center" wrapText="1"/>
    </xf>
    <xf numFmtId="0" fontId="20" fillId="0" borderId="0" xfId="0" applyFont="1"/>
    <xf numFmtId="4" fontId="1" fillId="0" borderId="14" xfId="7" applyNumberFormat="1" applyBorder="1" applyAlignment="1">
      <alignment horizontal="center" vertical="center" wrapText="1"/>
    </xf>
    <xf numFmtId="4" fontId="1" fillId="0" borderId="15" xfId="7" applyNumberFormat="1" applyBorder="1" applyAlignment="1">
      <alignment horizontal="center" vertical="center" wrapText="1"/>
    </xf>
    <xf numFmtId="4" fontId="20" fillId="0" borderId="3" xfId="7" applyNumberFormat="1" applyFont="1" applyBorder="1" applyAlignment="1">
      <alignment vertical="center" wrapText="1"/>
    </xf>
    <xf numFmtId="0" fontId="19" fillId="0" borderId="14" xfId="7" applyFont="1" applyBorder="1" applyAlignment="1">
      <alignment vertical="center" wrapText="1"/>
    </xf>
    <xf numFmtId="0" fontId="19" fillId="0" borderId="15" xfId="7" applyFont="1" applyBorder="1" applyAlignment="1">
      <alignment horizontal="center" vertical="center" wrapText="1"/>
    </xf>
    <xf numFmtId="4" fontId="19" fillId="0" borderId="15" xfId="7" applyNumberFormat="1" applyFont="1" applyBorder="1" applyAlignment="1">
      <alignment horizontal="center" vertical="center" wrapText="1"/>
    </xf>
    <xf numFmtId="3" fontId="19" fillId="0" borderId="15" xfId="7" applyNumberFormat="1" applyFont="1" applyBorder="1" applyAlignment="1">
      <alignment horizontal="center" vertical="center" wrapText="1"/>
    </xf>
    <xf numFmtId="4" fontId="19" fillId="0" borderId="16" xfId="7" applyNumberFormat="1" applyFont="1" applyBorder="1" applyAlignment="1">
      <alignment vertical="center" wrapText="1"/>
    </xf>
    <xf numFmtId="0" fontId="1" fillId="0" borderId="13" xfId="0" applyFont="1" applyBorder="1"/>
    <xf numFmtId="0" fontId="1" fillId="0" borderId="5" xfId="7" applyBorder="1" applyAlignment="1">
      <alignment horizontal="center" vertical="center" wrapText="1"/>
    </xf>
    <xf numFmtId="4" fontId="1" fillId="0" borderId="5" xfId="7" applyNumberFormat="1" applyBorder="1" applyAlignment="1">
      <alignment horizontal="center" vertical="center" wrapText="1"/>
    </xf>
    <xf numFmtId="4" fontId="1" fillId="0" borderId="23" xfId="7" applyNumberFormat="1" applyBorder="1" applyAlignment="1">
      <alignment vertical="center" wrapText="1"/>
    </xf>
    <xf numFmtId="0" fontId="1" fillId="0" borderId="20" xfId="0" applyFont="1" applyBorder="1" applyAlignment="1">
      <alignment horizontal="left"/>
    </xf>
    <xf numFmtId="4" fontId="1" fillId="0" borderId="16" xfId="7" applyNumberFormat="1" applyBorder="1" applyAlignment="1">
      <alignment vertical="center" wrapText="1"/>
    </xf>
    <xf numFmtId="0" fontId="1" fillId="0" borderId="14" xfId="7" applyBorder="1" applyAlignment="1">
      <alignment vertical="center" wrapText="1"/>
    </xf>
    <xf numFmtId="0" fontId="1" fillId="0" borderId="15" xfId="7" applyBorder="1" applyAlignment="1">
      <alignment horizontal="center" vertical="center" wrapText="1"/>
    </xf>
    <xf numFmtId="3" fontId="1" fillId="0" borderId="15" xfId="7" applyNumberFormat="1" applyBorder="1" applyAlignment="1">
      <alignment horizontal="center" vertical="center" wrapText="1"/>
    </xf>
    <xf numFmtId="4" fontId="1" fillId="0" borderId="12" xfId="7" applyNumberFormat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4" fontId="1" fillId="0" borderId="14" xfId="7" applyNumberFormat="1" applyBorder="1" applyAlignment="1">
      <alignment vertical="center" wrapText="1"/>
    </xf>
    <xf numFmtId="4" fontId="21" fillId="0" borderId="3" xfId="7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7" fillId="0" borderId="14" xfId="7" applyFont="1" applyBorder="1" applyAlignment="1">
      <alignment vertical="center" wrapText="1"/>
    </xf>
    <xf numFmtId="0" fontId="17" fillId="0" borderId="15" xfId="7" applyFont="1" applyBorder="1" applyAlignment="1">
      <alignment vertical="center" wrapText="1"/>
    </xf>
    <xf numFmtId="4" fontId="17" fillId="0" borderId="16" xfId="7" applyNumberFormat="1" applyFont="1" applyBorder="1" applyAlignment="1">
      <alignment vertical="center" wrapText="1"/>
    </xf>
    <xf numFmtId="0" fontId="1" fillId="0" borderId="7" xfId="7" applyBorder="1" applyAlignment="1">
      <alignment horizontal="left" vertical="center" wrapText="1"/>
    </xf>
    <xf numFmtId="4" fontId="1" fillId="0" borderId="9" xfId="7" applyNumberFormat="1" applyBorder="1" applyAlignment="1">
      <alignment horizontal="center" vertical="center" wrapText="1"/>
    </xf>
    <xf numFmtId="0" fontId="1" fillId="0" borderId="9" xfId="7" applyBorder="1" applyAlignment="1">
      <alignment horizontal="center" vertical="center" wrapText="1"/>
    </xf>
    <xf numFmtId="4" fontId="17" fillId="0" borderId="8" xfId="7" applyNumberFormat="1" applyFont="1" applyBorder="1" applyAlignment="1">
      <alignment horizontal="left" vertical="center" wrapText="1"/>
    </xf>
    <xf numFmtId="0" fontId="23" fillId="0" borderId="7" xfId="7" applyFont="1" applyBorder="1" applyAlignment="1">
      <alignment horizontal="left" vertical="center" wrapText="1"/>
    </xf>
    <xf numFmtId="4" fontId="19" fillId="0" borderId="9" xfId="7" applyNumberFormat="1" applyFont="1" applyBorder="1" applyAlignment="1">
      <alignment horizontal="center" vertical="center" wrapText="1"/>
    </xf>
    <xf numFmtId="0" fontId="19" fillId="0" borderId="9" xfId="7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justify"/>
    </xf>
    <xf numFmtId="4" fontId="17" fillId="0" borderId="9" xfId="7" applyNumberFormat="1" applyFont="1" applyBorder="1" applyAlignment="1">
      <alignment horizontal="center" vertical="center" wrapText="1"/>
    </xf>
    <xf numFmtId="0" fontId="1" fillId="0" borderId="9" xfId="7" applyBorder="1" applyAlignment="1">
      <alignment horizontal="left" vertical="center" wrapText="1"/>
    </xf>
    <xf numFmtId="0" fontId="23" fillId="0" borderId="9" xfId="7" applyFont="1" applyBorder="1" applyAlignment="1">
      <alignment horizontal="left" vertical="center" wrapText="1"/>
    </xf>
    <xf numFmtId="4" fontId="23" fillId="0" borderId="9" xfId="7" applyNumberFormat="1" applyFont="1" applyBorder="1" applyAlignment="1">
      <alignment horizontal="center" vertical="center" wrapText="1"/>
    </xf>
    <xf numFmtId="4" fontId="23" fillId="0" borderId="8" xfId="7" applyNumberFormat="1" applyFont="1" applyBorder="1" applyAlignment="1">
      <alignment horizontal="left" vertical="center" wrapText="1"/>
    </xf>
    <xf numFmtId="0" fontId="17" fillId="0" borderId="7" xfId="7" applyFont="1" applyBorder="1" applyAlignment="1">
      <alignment horizontal="left" vertical="center" wrapText="1"/>
    </xf>
    <xf numFmtId="0" fontId="19" fillId="0" borderId="7" xfId="7" applyFont="1" applyBorder="1" applyAlignment="1">
      <alignment horizontal="left" vertical="center" wrapText="1"/>
    </xf>
    <xf numFmtId="0" fontId="17" fillId="0" borderId="3" xfId="7" applyFont="1" applyBorder="1" applyAlignment="1">
      <alignment horizontal="left" vertical="center" wrapText="1"/>
    </xf>
    <xf numFmtId="4" fontId="17" fillId="0" borderId="4" xfId="7" applyNumberFormat="1" applyFont="1" applyBorder="1" applyAlignment="1">
      <alignment horizontal="left" vertical="center" wrapText="1"/>
    </xf>
    <xf numFmtId="0" fontId="1" fillId="0" borderId="2" xfId="7" applyBorder="1" applyAlignment="1">
      <alignment horizontal="left" vertical="center" wrapText="1"/>
    </xf>
    <xf numFmtId="1" fontId="1" fillId="0" borderId="9" xfId="7" applyNumberFormat="1" applyBorder="1" applyAlignment="1">
      <alignment horizontal="center" vertical="center" wrapText="1"/>
    </xf>
    <xf numFmtId="4" fontId="17" fillId="0" borderId="8" xfId="7" applyNumberFormat="1" applyFont="1" applyBorder="1" applyAlignment="1">
      <alignment vertical="center" wrapText="1"/>
    </xf>
    <xf numFmtId="4" fontId="1" fillId="0" borderId="11" xfId="7" applyNumberForma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1" fillId="0" borderId="9" xfId="7" applyBorder="1" applyAlignment="1">
      <alignment vertical="center" wrapText="1"/>
    </xf>
    <xf numFmtId="0" fontId="17" fillId="0" borderId="25" xfId="7" applyFont="1" applyBorder="1" applyAlignment="1">
      <alignment vertical="center" wrapText="1"/>
    </xf>
    <xf numFmtId="4" fontId="17" fillId="0" borderId="25" xfId="7" applyNumberFormat="1" applyFont="1" applyBorder="1" applyAlignment="1">
      <alignment horizontal="center" vertical="center" wrapText="1"/>
    </xf>
    <xf numFmtId="4" fontId="17" fillId="0" borderId="30" xfId="7" applyNumberFormat="1" applyFont="1" applyBorder="1" applyAlignment="1">
      <alignment vertical="center" wrapText="1"/>
    </xf>
    <xf numFmtId="0" fontId="17" fillId="0" borderId="38" xfId="7" applyFont="1" applyBorder="1" applyAlignment="1">
      <alignment vertical="center" wrapText="1"/>
    </xf>
    <xf numFmtId="4" fontId="17" fillId="0" borderId="38" xfId="7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4" fontId="17" fillId="0" borderId="20" xfId="7" applyNumberFormat="1" applyFont="1" applyBorder="1" applyAlignment="1">
      <alignment horizontal="center" vertical="center" wrapText="1"/>
    </xf>
    <xf numFmtId="4" fontId="24" fillId="0" borderId="20" xfId="7" applyNumberFormat="1" applyFont="1" applyBorder="1" applyAlignment="1">
      <alignment horizontal="center" vertical="center" wrapText="1"/>
    </xf>
    <xf numFmtId="0" fontId="20" fillId="0" borderId="5" xfId="7" applyFont="1" applyBorder="1" applyAlignment="1">
      <alignment vertical="center" wrapText="1"/>
    </xf>
    <xf numFmtId="0" fontId="20" fillId="0" borderId="5" xfId="7" applyFont="1" applyBorder="1" applyAlignment="1">
      <alignment horizontal="center" vertical="center" wrapText="1"/>
    </xf>
    <xf numFmtId="4" fontId="20" fillId="0" borderId="5" xfId="7" applyNumberFormat="1" applyFont="1" applyBorder="1" applyAlignment="1">
      <alignment horizontal="center" vertical="center" wrapText="1"/>
    </xf>
    <xf numFmtId="3" fontId="20" fillId="0" borderId="6" xfId="7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 applyProtection="1">
      <alignment vertical="top" wrapText="1"/>
      <protection hidden="1"/>
    </xf>
    <xf numFmtId="0" fontId="25" fillId="0" borderId="3" xfId="0" applyFont="1" applyBorder="1" applyAlignment="1" applyProtection="1">
      <alignment horizontal="center" vertical="top"/>
      <protection hidden="1"/>
    </xf>
    <xf numFmtId="170" fontId="25" fillId="0" borderId="3" xfId="16" applyNumberFormat="1" applyFont="1" applyBorder="1" applyAlignment="1" applyProtection="1">
      <alignment horizontal="right" vertical="top"/>
      <protection hidden="1"/>
    </xf>
    <xf numFmtId="4" fontId="25" fillId="0" borderId="3" xfId="0" applyNumberFormat="1" applyFont="1" applyBorder="1" applyAlignment="1" applyProtection="1">
      <alignment horizontal="center" vertical="top"/>
      <protection locked="0"/>
    </xf>
    <xf numFmtId="4" fontId="1" fillId="0" borderId="13" xfId="0" applyNumberFormat="1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" fontId="17" fillId="0" borderId="15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left"/>
    </xf>
    <xf numFmtId="0" fontId="19" fillId="0" borderId="20" xfId="7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" fontId="17" fillId="0" borderId="3" xfId="7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24" fillId="0" borderId="5" xfId="0" applyFont="1" applyBorder="1" applyAlignment="1">
      <alignment horizontal="right"/>
    </xf>
    <xf numFmtId="4" fontId="24" fillId="0" borderId="5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" fontId="20" fillId="0" borderId="11" xfId="7" applyNumberFormat="1" applyFont="1" applyBorder="1" applyAlignment="1">
      <alignment vertical="center" wrapText="1"/>
    </xf>
    <xf numFmtId="4" fontId="17" fillId="0" borderId="15" xfId="7" applyNumberFormat="1" applyFont="1" applyBorder="1" applyAlignment="1">
      <alignment horizontal="center" vertical="center" wrapText="1"/>
    </xf>
    <xf numFmtId="4" fontId="17" fillId="0" borderId="16" xfId="7" applyNumberFormat="1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5" xfId="0" applyFont="1" applyBorder="1" applyAlignment="1">
      <alignment horizontal="right"/>
    </xf>
    <xf numFmtId="4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4" fontId="17" fillId="0" borderId="39" xfId="7" applyNumberFormat="1" applyFont="1" applyBorder="1" applyAlignment="1">
      <alignment vertical="center" wrapText="1"/>
    </xf>
    <xf numFmtId="4" fontId="17" fillId="2" borderId="21" xfId="7" applyNumberFormat="1" applyFont="1" applyFill="1" applyBorder="1" applyAlignment="1">
      <alignment vertic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17" fillId="0" borderId="15" xfId="7" applyFont="1" applyBorder="1" applyAlignment="1">
      <alignment horizontal="left" vertical="center" wrapText="1"/>
    </xf>
    <xf numFmtId="0" fontId="17" fillId="0" borderId="14" xfId="7" applyFont="1" applyBorder="1" applyAlignment="1">
      <alignment horizontal="left" vertical="center" wrapText="1"/>
    </xf>
    <xf numFmtId="0" fontId="17" fillId="0" borderId="9" xfId="7" applyFont="1" applyBorder="1" applyAlignment="1">
      <alignment horizontal="left" vertical="center" wrapText="1"/>
    </xf>
    <xf numFmtId="0" fontId="24" fillId="0" borderId="14" xfId="7" applyFont="1" applyBorder="1" applyAlignment="1">
      <alignment horizontal="left" vertical="center" wrapText="1"/>
    </xf>
    <xf numFmtId="0" fontId="24" fillId="0" borderId="15" xfId="7" applyFont="1" applyBorder="1" applyAlignment="1">
      <alignment horizontal="left" vertical="center" wrapText="1"/>
    </xf>
    <xf numFmtId="0" fontId="17" fillId="0" borderId="20" xfId="7" applyFont="1" applyBorder="1" applyAlignment="1">
      <alignment horizontal="left" vertical="center" wrapText="1"/>
    </xf>
    <xf numFmtId="0" fontId="17" fillId="0" borderId="14" xfId="7" applyFont="1" applyBorder="1" applyAlignment="1">
      <alignment horizontal="center" vertical="center" wrapText="1"/>
    </xf>
    <xf numFmtId="0" fontId="17" fillId="0" borderId="15" xfId="7" applyFont="1" applyBorder="1" applyAlignment="1">
      <alignment horizontal="center" vertical="center" wrapText="1"/>
    </xf>
    <xf numFmtId="0" fontId="17" fillId="0" borderId="15" xfId="7" quotePrefix="1" applyFont="1" applyBorder="1" applyAlignment="1">
      <alignment horizontal="center" vertical="center" wrapText="1"/>
    </xf>
    <xf numFmtId="0" fontId="17" fillId="0" borderId="8" xfId="7" applyFont="1" applyBorder="1" applyAlignment="1">
      <alignment horizontal="center" vertical="center"/>
    </xf>
    <xf numFmtId="0" fontId="17" fillId="0" borderId="38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0" fontId="26" fillId="0" borderId="0" xfId="0" applyFont="1" applyAlignment="1">
      <alignment vertical="center" wrapText="1" readingOrder="1"/>
    </xf>
    <xf numFmtId="0" fontId="26" fillId="0" borderId="0" xfId="0" applyFont="1" applyAlignment="1">
      <alignment vertical="center" wrapText="1"/>
    </xf>
    <xf numFmtId="4" fontId="1" fillId="0" borderId="3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7" fillId="0" borderId="38" xfId="7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8" xfId="7" applyBorder="1" applyAlignment="1">
      <alignment horizontal="left" vertical="center" wrapText="1"/>
    </xf>
    <xf numFmtId="0" fontId="1" fillId="0" borderId="20" xfId="7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1" fillId="0" borderId="3" xfId="7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9" fillId="0" borderId="15" xfId="7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7" fillId="0" borderId="16" xfId="7" applyFont="1" applyBorder="1" applyAlignment="1">
      <alignment horizontal="left" vertical="center" wrapText="1"/>
    </xf>
    <xf numFmtId="4" fontId="17" fillId="2" borderId="60" xfId="7" applyNumberFormat="1" applyFont="1" applyFill="1" applyBorder="1" applyAlignment="1">
      <alignment vertical="center"/>
    </xf>
    <xf numFmtId="0" fontId="1" fillId="3" borderId="0" xfId="0" applyFont="1" applyFill="1"/>
    <xf numFmtId="0" fontId="1" fillId="0" borderId="14" xfId="7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3" fontId="1" fillId="0" borderId="9" xfId="7" applyNumberForma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4" fontId="31" fillId="2" borderId="21" xfId="7" applyNumberFormat="1" applyFont="1" applyFill="1" applyBorder="1" applyAlignment="1">
      <alignment vertical="center"/>
    </xf>
    <xf numFmtId="0" fontId="17" fillId="0" borderId="17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24" xfId="7" applyFont="1" applyBorder="1" applyAlignment="1">
      <alignment horizontal="left" vertical="center" wrapText="1"/>
    </xf>
    <xf numFmtId="0" fontId="17" fillId="0" borderId="25" xfId="7" applyFont="1" applyBorder="1" applyAlignment="1">
      <alignment horizontal="left" vertical="center" wrapText="1"/>
    </xf>
    <xf numFmtId="0" fontId="17" fillId="0" borderId="26" xfId="7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7" applyFont="1" applyBorder="1" applyAlignment="1">
      <alignment horizontal="left" vertical="center" wrapText="1"/>
    </xf>
    <xf numFmtId="0" fontId="17" fillId="0" borderId="15" xfId="7" applyFont="1" applyBorder="1" applyAlignment="1">
      <alignment horizontal="left" vertical="center" wrapText="1"/>
    </xf>
    <xf numFmtId="0" fontId="17" fillId="0" borderId="20" xfId="7" applyFont="1" applyBorder="1" applyAlignment="1">
      <alignment horizontal="left" vertical="center" wrapText="1"/>
    </xf>
    <xf numFmtId="0" fontId="17" fillId="0" borderId="4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24" fillId="0" borderId="14" xfId="7" applyFont="1" applyBorder="1" applyAlignment="1">
      <alignment horizontal="left" vertical="center" wrapText="1"/>
    </xf>
    <xf numFmtId="0" fontId="24" fillId="0" borderId="15" xfId="7" applyFont="1" applyBorder="1" applyAlignment="1">
      <alignment horizontal="left" vertical="center" wrapText="1"/>
    </xf>
    <xf numFmtId="0" fontId="24" fillId="0" borderId="20" xfId="7" applyFont="1" applyBorder="1" applyAlignment="1">
      <alignment horizontal="left" vertical="center" wrapText="1"/>
    </xf>
    <xf numFmtId="0" fontId="17" fillId="0" borderId="40" xfId="7" applyFont="1" applyBorder="1" applyAlignment="1">
      <alignment horizontal="left" vertical="center" wrapText="1"/>
    </xf>
    <xf numFmtId="0" fontId="17" fillId="0" borderId="31" xfId="7" applyFont="1" applyBorder="1" applyAlignment="1">
      <alignment horizontal="center" vertical="center"/>
    </xf>
    <xf numFmtId="0" fontId="17" fillId="0" borderId="43" xfId="7" applyFont="1" applyBorder="1" applyAlignment="1">
      <alignment horizontal="center" vertical="center"/>
    </xf>
    <xf numFmtId="0" fontId="17" fillId="0" borderId="32" xfId="7" applyFont="1" applyBorder="1" applyAlignment="1">
      <alignment horizontal="center" vertical="center"/>
    </xf>
    <xf numFmtId="0" fontId="17" fillId="0" borderId="33" xfId="7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 readingOrder="1"/>
    </xf>
    <xf numFmtId="0" fontId="26" fillId="0" borderId="48" xfId="0" applyFont="1" applyBorder="1" applyAlignment="1">
      <alignment horizontal="center" vertical="center" wrapText="1" readingOrder="1"/>
    </xf>
    <xf numFmtId="0" fontId="26" fillId="0" borderId="44" xfId="0" applyFont="1" applyBorder="1" applyAlignment="1">
      <alignment horizontal="center" vertical="center" wrapText="1" readingOrder="1"/>
    </xf>
    <xf numFmtId="0" fontId="26" fillId="0" borderId="45" xfId="0" applyFont="1" applyBorder="1" applyAlignment="1">
      <alignment horizontal="center" vertical="center" wrapText="1" readingOrder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 readingOrder="1"/>
    </xf>
    <xf numFmtId="0" fontId="26" fillId="0" borderId="55" xfId="0" applyFont="1" applyBorder="1" applyAlignment="1">
      <alignment horizontal="center" vertical="center" wrapText="1" readingOrder="1"/>
    </xf>
    <xf numFmtId="0" fontId="26" fillId="0" borderId="56" xfId="0" applyFont="1" applyBorder="1" applyAlignment="1">
      <alignment horizontal="center" vertical="center" wrapText="1" readingOrder="1"/>
    </xf>
    <xf numFmtId="0" fontId="26" fillId="0" borderId="50" xfId="0" applyFont="1" applyBorder="1" applyAlignment="1">
      <alignment horizontal="center" vertical="center" wrapText="1" readingOrder="1"/>
    </xf>
    <xf numFmtId="0" fontId="26" fillId="0" borderId="51" xfId="0" applyFont="1" applyBorder="1" applyAlignment="1">
      <alignment horizontal="center" vertical="center" wrapText="1" readingOrder="1"/>
    </xf>
    <xf numFmtId="0" fontId="18" fillId="0" borderId="47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7" fillId="0" borderId="37" xfId="7" applyFont="1" applyBorder="1" applyAlignment="1">
      <alignment horizontal="left" vertical="center" wrapText="1"/>
    </xf>
    <xf numFmtId="0" fontId="17" fillId="0" borderId="38" xfId="7" applyFont="1" applyBorder="1" applyAlignment="1">
      <alignment horizontal="left" vertical="center" wrapText="1"/>
    </xf>
    <xf numFmtId="0" fontId="17" fillId="0" borderId="39" xfId="7" applyFont="1" applyBorder="1" applyAlignment="1">
      <alignment horizontal="left" vertical="center" wrapText="1"/>
    </xf>
    <xf numFmtId="0" fontId="17" fillId="0" borderId="16" xfId="7" applyFont="1" applyBorder="1" applyAlignment="1">
      <alignment horizontal="left" vertical="center" wrapText="1"/>
    </xf>
    <xf numFmtId="0" fontId="17" fillId="0" borderId="3" xfId="7" applyFont="1" applyBorder="1" applyAlignment="1">
      <alignment horizontal="left" vertical="center" wrapText="1"/>
    </xf>
    <xf numFmtId="0" fontId="17" fillId="0" borderId="9" xfId="7" applyFont="1" applyBorder="1" applyAlignment="1">
      <alignment horizontal="left" vertical="center" wrapText="1"/>
    </xf>
    <xf numFmtId="0" fontId="31" fillId="2" borderId="27" xfId="7" applyFont="1" applyFill="1" applyBorder="1" applyAlignment="1">
      <alignment horizontal="right" vertical="center"/>
    </xf>
    <xf numFmtId="0" fontId="31" fillId="2" borderId="28" xfId="7" applyFont="1" applyFill="1" applyBorder="1" applyAlignment="1">
      <alignment horizontal="right" vertical="center"/>
    </xf>
    <xf numFmtId="0" fontId="31" fillId="2" borderId="29" xfId="7" applyFont="1" applyFill="1" applyBorder="1" applyAlignment="1">
      <alignment horizontal="right" vertical="center"/>
    </xf>
    <xf numFmtId="0" fontId="17" fillId="0" borderId="14" xfId="7" applyFont="1" applyBorder="1" applyAlignment="1">
      <alignment horizontal="center" vertical="center"/>
    </xf>
    <xf numFmtId="0" fontId="17" fillId="0" borderId="15" xfId="7" applyFont="1" applyBorder="1" applyAlignment="1">
      <alignment horizontal="center" vertical="center"/>
    </xf>
    <xf numFmtId="0" fontId="17" fillId="0" borderId="20" xfId="7" applyFont="1" applyBorder="1" applyAlignment="1">
      <alignment horizontal="center" vertical="center"/>
    </xf>
    <xf numFmtId="0" fontId="17" fillId="0" borderId="30" xfId="7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30" fillId="0" borderId="61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17" fillId="2" borderId="27" xfId="7" applyFont="1" applyFill="1" applyBorder="1" applyAlignment="1">
      <alignment horizontal="right" vertical="center"/>
    </xf>
    <xf numFmtId="0" fontId="17" fillId="2" borderId="28" xfId="7" applyFont="1" applyFill="1" applyBorder="1" applyAlignment="1">
      <alignment horizontal="right" vertical="center"/>
    </xf>
    <xf numFmtId="0" fontId="17" fillId="2" borderId="29" xfId="7" applyFont="1" applyFill="1" applyBorder="1" applyAlignment="1">
      <alignment horizontal="right" vertical="center"/>
    </xf>
    <xf numFmtId="0" fontId="17" fillId="2" borderId="44" xfId="7" applyFont="1" applyFill="1" applyBorder="1" applyAlignment="1">
      <alignment horizontal="right" vertical="center"/>
    </xf>
    <xf numFmtId="0" fontId="17" fillId="2" borderId="45" xfId="7" applyFont="1" applyFill="1" applyBorder="1" applyAlignment="1">
      <alignment horizontal="right" vertical="center"/>
    </xf>
    <xf numFmtId="0" fontId="17" fillId="2" borderId="59" xfId="7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4" xfId="7" applyFont="1" applyBorder="1" applyAlignment="1">
      <alignment horizontal="left" vertical="center" wrapText="1"/>
    </xf>
    <xf numFmtId="0" fontId="2" fillId="0" borderId="15" xfId="7" applyFont="1" applyBorder="1" applyAlignment="1">
      <alignment horizontal="left" vertical="center" wrapText="1"/>
    </xf>
    <xf numFmtId="0" fontId="2" fillId="0" borderId="20" xfId="7" applyFont="1" applyBorder="1" applyAlignment="1">
      <alignment horizontal="left" vertical="center" wrapText="1"/>
    </xf>
    <xf numFmtId="0" fontId="11" fillId="2" borderId="27" xfId="7" applyFont="1" applyFill="1" applyBorder="1" applyAlignment="1">
      <alignment horizontal="right" vertical="center"/>
    </xf>
    <xf numFmtId="0" fontId="11" fillId="2" borderId="28" xfId="7" applyFont="1" applyFill="1" applyBorder="1" applyAlignment="1">
      <alignment horizontal="right" vertical="center"/>
    </xf>
    <xf numFmtId="0" fontId="11" fillId="2" borderId="29" xfId="7" applyFont="1" applyFill="1" applyBorder="1" applyAlignment="1">
      <alignment horizontal="right" vertical="center"/>
    </xf>
    <xf numFmtId="0" fontId="2" fillId="0" borderId="40" xfId="7" applyFont="1" applyBorder="1" applyAlignment="1">
      <alignment horizontal="left" vertical="center" wrapText="1"/>
    </xf>
    <xf numFmtId="0" fontId="2" fillId="0" borderId="25" xfId="7" applyFont="1" applyBorder="1" applyAlignment="1">
      <alignment horizontal="left" vertical="center" wrapText="1"/>
    </xf>
    <xf numFmtId="0" fontId="2" fillId="0" borderId="30" xfId="7" applyFont="1" applyBorder="1" applyAlignment="1">
      <alignment horizontal="left" vertical="center" wrapText="1"/>
    </xf>
    <xf numFmtId="0" fontId="2" fillId="0" borderId="34" xfId="7" applyFont="1" applyBorder="1" applyAlignment="1">
      <alignment horizontal="center" vertical="center"/>
    </xf>
    <xf numFmtId="0" fontId="2" fillId="0" borderId="35" xfId="7" applyFont="1" applyBorder="1" applyAlignment="1">
      <alignment horizontal="center" vertical="center"/>
    </xf>
    <xf numFmtId="0" fontId="2" fillId="0" borderId="36" xfId="7" applyFont="1" applyBorder="1" applyAlignment="1">
      <alignment horizontal="center" vertical="center"/>
    </xf>
    <xf numFmtId="0" fontId="2" fillId="0" borderId="31" xfId="7" applyFont="1" applyBorder="1" applyAlignment="1">
      <alignment horizontal="center" vertical="center" wrapText="1"/>
    </xf>
    <xf numFmtId="0" fontId="2" fillId="0" borderId="32" xfId="7" applyFont="1" applyBorder="1" applyAlignment="1">
      <alignment horizontal="center" vertical="center" wrapText="1"/>
    </xf>
    <xf numFmtId="0" fontId="2" fillId="0" borderId="33" xfId="7" applyFont="1" applyBorder="1" applyAlignment="1">
      <alignment horizontal="center" vertical="center" wrapText="1"/>
    </xf>
    <xf numFmtId="0" fontId="5" fillId="0" borderId="34" xfId="7" applyFont="1" applyBorder="1" applyAlignment="1">
      <alignment horizontal="center" vertical="center" wrapText="1"/>
    </xf>
    <xf numFmtId="0" fontId="5" fillId="0" borderId="35" xfId="7" applyFont="1" applyBorder="1" applyAlignment="1">
      <alignment horizontal="center" vertical="center" wrapText="1"/>
    </xf>
    <xf numFmtId="0" fontId="5" fillId="0" borderId="36" xfId="7" applyFont="1" applyBorder="1" applyAlignment="1">
      <alignment horizontal="center" vertical="center" wrapText="1"/>
    </xf>
    <xf numFmtId="0" fontId="6" fillId="0" borderId="35" xfId="7" applyFont="1" applyBorder="1" applyAlignment="1"/>
    <xf numFmtId="0" fontId="6" fillId="0" borderId="36" xfId="7" applyFont="1" applyBorder="1" applyAlignment="1"/>
    <xf numFmtId="0" fontId="6" fillId="0" borderId="35" xfId="7" applyFont="1" applyBorder="1" applyAlignment="1">
      <alignment horizontal="center" vertical="center" wrapText="1"/>
    </xf>
    <xf numFmtId="0" fontId="6" fillId="0" borderId="36" xfId="7" applyFont="1" applyBorder="1" applyAlignment="1">
      <alignment horizontal="center" vertical="center" wrapText="1"/>
    </xf>
    <xf numFmtId="0" fontId="2" fillId="0" borderId="31" xfId="7" applyFont="1" applyBorder="1" applyAlignment="1">
      <alignment horizontal="center" vertical="center"/>
    </xf>
    <xf numFmtId="0" fontId="2" fillId="0" borderId="32" xfId="7" applyFont="1" applyBorder="1" applyAlignment="1">
      <alignment horizontal="center" vertical="center"/>
    </xf>
    <xf numFmtId="0" fontId="2" fillId="0" borderId="33" xfId="7" applyFont="1" applyBorder="1" applyAlignment="1">
      <alignment horizontal="center" vertical="center"/>
    </xf>
    <xf numFmtId="0" fontId="2" fillId="0" borderId="14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2" fillId="0" borderId="37" xfId="7" applyFont="1" applyBorder="1" applyAlignment="1">
      <alignment horizontal="left" vertical="center" wrapText="1"/>
    </xf>
    <xf numFmtId="0" fontId="2" fillId="0" borderId="38" xfId="7" applyFont="1" applyBorder="1" applyAlignment="1">
      <alignment horizontal="left" vertical="center" wrapText="1"/>
    </xf>
    <xf numFmtId="0" fontId="2" fillId="0" borderId="39" xfId="7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34">
    <cellStyle name="%" xfId="1"/>
    <cellStyle name="% 2" xfId="14"/>
    <cellStyle name="% 2 2" xfId="2"/>
    <cellStyle name="80" xfId="3"/>
    <cellStyle name="Euro" xfId="4"/>
    <cellStyle name="Euro 2" xfId="15"/>
    <cellStyle name="Euro 3" xfId="30"/>
    <cellStyle name="Euro 4" xfId="26"/>
    <cellStyle name="Excel Built-in Normal" xfId="17"/>
    <cellStyle name="Hipervínculo 2" xfId="18"/>
    <cellStyle name="Millares 2" xfId="5"/>
    <cellStyle name="Millares 2 2" xfId="31"/>
    <cellStyle name="Millares 2 3" xfId="27"/>
    <cellStyle name="Millares 2 4" xfId="19"/>
    <cellStyle name="Millares 3" xfId="16"/>
    <cellStyle name="Moneda 2" xfId="6"/>
    <cellStyle name="Moneda 2 2" xfId="33"/>
    <cellStyle name="Moneda 2 3" xfId="28"/>
    <cellStyle name="Moneda 2 4" xfId="24"/>
    <cellStyle name="Normal" xfId="0" builtinId="0"/>
    <cellStyle name="Normal 2" xfId="7"/>
    <cellStyle name="Normal 2 2" xfId="20"/>
    <cellStyle name="Normal 3" xfId="8"/>
    <cellStyle name="Normal 3 2" xfId="22"/>
    <cellStyle name="Normal 3 2 2" xfId="23"/>
    <cellStyle name="Normal 3 2 2 2" xfId="25"/>
    <cellStyle name="Normal 3 3" xfId="32"/>
    <cellStyle name="Normal 3 4" xfId="29"/>
    <cellStyle name="Normal 3 5" xfId="21"/>
    <cellStyle name="Normal 4" xfId="9"/>
    <cellStyle name="Normal 4 2" xfId="12"/>
    <cellStyle name="Normal 4 3" xfId="13"/>
    <cellStyle name="Normal 4 4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1</xdr:row>
      <xdr:rowOff>303068</xdr:rowOff>
    </xdr:from>
    <xdr:to>
      <xdr:col>1</xdr:col>
      <xdr:colOff>764887</xdr:colOff>
      <xdr:row>5</xdr:row>
      <xdr:rowOff>1796</xdr:rowOff>
    </xdr:to>
    <xdr:pic>
      <xdr:nvPicPr>
        <xdr:cNvPr id="4" name="3 Imagen" descr="C:\Users\PLANEACION\Downloads\FINAL LOGO ALCALDIA DE TOCAIMA CURVAS-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6" y="490682"/>
          <a:ext cx="1601932" cy="875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158749</xdr:colOff>
      <xdr:row>1</xdr:row>
      <xdr:rowOff>129885</xdr:rowOff>
    </xdr:from>
    <xdr:to>
      <xdr:col>6</xdr:col>
      <xdr:colOff>1371022</xdr:colOff>
      <xdr:row>6</xdr:row>
      <xdr:rowOff>101022</xdr:rowOff>
    </xdr:to>
    <xdr:pic>
      <xdr:nvPicPr>
        <xdr:cNvPr id="5" name="Imagen 2" descr="membrete fin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976" y="317499"/>
          <a:ext cx="1212273" cy="13421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600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0</xdr:row>
      <xdr:rowOff>180975</xdr:rowOff>
    </xdr:from>
    <xdr:to>
      <xdr:col>5</xdr:col>
      <xdr:colOff>876300</xdr:colOff>
      <xdr:row>3</xdr:row>
      <xdr:rowOff>66675</xdr:rowOff>
    </xdr:to>
    <xdr:pic>
      <xdr:nvPicPr>
        <xdr:cNvPr id="1026" name="Imagen 6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161925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  <pageSetUpPr fitToPage="1"/>
  </sheetPr>
  <dimension ref="A1:L595"/>
  <sheetViews>
    <sheetView tabSelected="1" view="pageBreakPreview" topLeftCell="A538" zoomScale="70" zoomScaleNormal="70" zoomScaleSheetLayoutView="70" workbookViewId="0">
      <selection activeCell="M590" sqref="M590"/>
    </sheetView>
  </sheetViews>
  <sheetFormatPr baseColWidth="10" defaultColWidth="11.42578125" defaultRowHeight="14.25" customHeight="1" x14ac:dyDescent="0.2"/>
  <cols>
    <col min="1" max="1" width="13.140625" style="36" customWidth="1"/>
    <col min="2" max="2" width="11.7109375" style="186" customWidth="1"/>
    <col min="3" max="3" width="65.140625" style="36" customWidth="1"/>
    <col min="4" max="4" width="10.85546875" style="36" customWidth="1"/>
    <col min="5" max="5" width="13.7109375" style="162" customWidth="1"/>
    <col min="6" max="6" width="15" style="163" customWidth="1"/>
    <col min="7" max="7" width="23.28515625" style="164" customWidth="1"/>
    <col min="8" max="8" width="1.7109375" style="36" customWidth="1"/>
    <col min="9" max="16384" width="11.42578125" style="36"/>
  </cols>
  <sheetData>
    <row r="1" spans="1:8" ht="14.25" customHeight="1" thickBot="1" x14ac:dyDescent="0.25"/>
    <row r="2" spans="1:8" ht="31.5" customHeight="1" x14ac:dyDescent="0.2">
      <c r="A2" s="246"/>
      <c r="B2" s="247"/>
      <c r="C2" s="233" t="s">
        <v>0</v>
      </c>
      <c r="D2" s="234"/>
      <c r="E2" s="234"/>
      <c r="F2" s="234"/>
      <c r="G2" s="241"/>
      <c r="H2" s="177"/>
    </row>
    <row r="3" spans="1:8" ht="31.5" customHeight="1" thickBot="1" x14ac:dyDescent="0.25">
      <c r="A3" s="248"/>
      <c r="B3" s="249"/>
      <c r="C3" s="235"/>
      <c r="D3" s="236"/>
      <c r="E3" s="236"/>
      <c r="F3" s="236"/>
      <c r="G3" s="242"/>
      <c r="H3" s="177"/>
    </row>
    <row r="4" spans="1:8" ht="14.25" customHeight="1" x14ac:dyDescent="0.2">
      <c r="A4" s="248"/>
      <c r="B4" s="249"/>
      <c r="C4" s="233" t="s">
        <v>1</v>
      </c>
      <c r="D4" s="234"/>
      <c r="E4" s="234"/>
      <c r="F4" s="234"/>
      <c r="G4" s="242"/>
      <c r="H4" s="177"/>
    </row>
    <row r="5" spans="1:8" ht="14.25" customHeight="1" thickBot="1" x14ac:dyDescent="0.25">
      <c r="A5" s="248"/>
      <c r="B5" s="249"/>
      <c r="C5" s="244"/>
      <c r="D5" s="245"/>
      <c r="E5" s="245"/>
      <c r="F5" s="245"/>
      <c r="G5" s="242"/>
      <c r="H5" s="177"/>
    </row>
    <row r="6" spans="1:8" ht="14.25" customHeight="1" x14ac:dyDescent="0.2">
      <c r="A6" s="248"/>
      <c r="B6" s="249"/>
      <c r="C6" s="237" t="s">
        <v>2</v>
      </c>
      <c r="D6" s="238"/>
      <c r="E6" s="238"/>
      <c r="F6" s="238"/>
      <c r="G6" s="242"/>
      <c r="H6" s="178"/>
    </row>
    <row r="7" spans="1:8" ht="14.25" customHeight="1" thickBot="1" x14ac:dyDescent="0.25">
      <c r="A7" s="250"/>
      <c r="B7" s="251"/>
      <c r="C7" s="239"/>
      <c r="D7" s="240"/>
      <c r="E7" s="240"/>
      <c r="F7" s="240"/>
      <c r="G7" s="243"/>
      <c r="H7" s="178"/>
    </row>
    <row r="8" spans="1:8" ht="14.25" customHeight="1" thickBot="1" x14ac:dyDescent="0.25"/>
    <row r="9" spans="1:8" ht="14.25" customHeight="1" x14ac:dyDescent="0.2">
      <c r="A9" s="229" t="s">
        <v>3</v>
      </c>
      <c r="B9" s="230"/>
      <c r="C9" s="231"/>
      <c r="D9" s="231"/>
      <c r="E9" s="231"/>
      <c r="F9" s="231"/>
      <c r="G9" s="232"/>
    </row>
    <row r="10" spans="1:8" ht="14.25" customHeight="1" x14ac:dyDescent="0.2">
      <c r="A10" s="174"/>
      <c r="B10" s="188"/>
      <c r="C10" s="175"/>
      <c r="D10" s="175"/>
      <c r="E10" s="175"/>
      <c r="F10" s="175"/>
      <c r="G10" s="176"/>
    </row>
    <row r="11" spans="1:8" ht="34.5" customHeight="1" x14ac:dyDescent="0.2">
      <c r="A11" s="37" t="s">
        <v>4</v>
      </c>
      <c r="B11" s="110" t="s">
        <v>5</v>
      </c>
      <c r="C11" s="37" t="s">
        <v>6</v>
      </c>
      <c r="D11" s="37" t="s">
        <v>7</v>
      </c>
      <c r="E11" s="38" t="s">
        <v>8</v>
      </c>
      <c r="F11" s="39" t="s">
        <v>9</v>
      </c>
      <c r="G11" s="38" t="s">
        <v>10</v>
      </c>
    </row>
    <row r="12" spans="1:8" ht="12.75" x14ac:dyDescent="0.2">
      <c r="A12" s="171"/>
      <c r="B12" s="165"/>
      <c r="C12" s="172"/>
      <c r="D12" s="172"/>
      <c r="E12" s="151"/>
      <c r="F12" s="173"/>
      <c r="G12" s="124"/>
    </row>
    <row r="13" spans="1:8" ht="14.25" customHeight="1" x14ac:dyDescent="0.2">
      <c r="A13" s="261" t="s">
        <v>11</v>
      </c>
      <c r="B13" s="262"/>
      <c r="C13" s="262"/>
      <c r="D13" s="262"/>
      <c r="E13" s="262"/>
      <c r="F13" s="262"/>
      <c r="G13" s="263"/>
    </row>
    <row r="14" spans="1:8" s="40" customFormat="1" ht="14.25" customHeight="1" x14ac:dyDescent="0.2">
      <c r="A14" s="252" t="s">
        <v>12</v>
      </c>
      <c r="B14" s="253"/>
      <c r="C14" s="253"/>
      <c r="D14" s="253"/>
      <c r="E14" s="253"/>
      <c r="F14" s="253"/>
      <c r="G14" s="254"/>
    </row>
    <row r="15" spans="1:8" s="40" customFormat="1" ht="14.25" customHeight="1" x14ac:dyDescent="0.2">
      <c r="A15" s="41" t="s">
        <v>13</v>
      </c>
      <c r="B15" s="170"/>
      <c r="C15" s="42" t="s">
        <v>14</v>
      </c>
      <c r="D15" s="43"/>
      <c r="E15" s="44"/>
      <c r="F15" s="45"/>
      <c r="G15" s="46"/>
    </row>
    <row r="16" spans="1:8" s="40" customFormat="1" ht="14.25" customHeight="1" x14ac:dyDescent="0.2">
      <c r="A16" s="47" t="s">
        <v>15</v>
      </c>
      <c r="B16" s="185" t="s">
        <v>16</v>
      </c>
      <c r="C16" s="43" t="s">
        <v>17</v>
      </c>
      <c r="D16" s="45" t="s">
        <v>18</v>
      </c>
      <c r="E16" s="44">
        <v>5350.9</v>
      </c>
      <c r="F16" s="48">
        <v>10142</v>
      </c>
      <c r="G16" s="46">
        <f>+E16*F16</f>
        <v>54268827.799999997</v>
      </c>
    </row>
    <row r="17" spans="1:7" s="40" customFormat="1" ht="14.25" customHeight="1" x14ac:dyDescent="0.2">
      <c r="A17" s="47" t="s">
        <v>19</v>
      </c>
      <c r="B17" s="185" t="s">
        <v>20</v>
      </c>
      <c r="C17" s="43" t="s">
        <v>21</v>
      </c>
      <c r="D17" s="45" t="s">
        <v>22</v>
      </c>
      <c r="E17" s="44">
        <v>299.73</v>
      </c>
      <c r="F17" s="48">
        <v>20446</v>
      </c>
      <c r="G17" s="46">
        <f>+E17*F17</f>
        <v>6128279.5800000001</v>
      </c>
    </row>
    <row r="18" spans="1:7" s="40" customFormat="1" ht="14.25" customHeight="1" x14ac:dyDescent="0.2">
      <c r="A18" s="47" t="s">
        <v>23</v>
      </c>
      <c r="B18" s="185" t="s">
        <v>24</v>
      </c>
      <c r="C18" s="43" t="s">
        <v>25</v>
      </c>
      <c r="D18" s="45" t="s">
        <v>26</v>
      </c>
      <c r="E18" s="44">
        <v>1</v>
      </c>
      <c r="F18" s="48">
        <v>1209259</v>
      </c>
      <c r="G18" s="49">
        <f>+E18*F18</f>
        <v>1209259</v>
      </c>
    </row>
    <row r="19" spans="1:7" s="40" customFormat="1" ht="14.25" customHeight="1" x14ac:dyDescent="0.2">
      <c r="A19" s="47" t="s">
        <v>27</v>
      </c>
      <c r="B19" s="181" t="s">
        <v>28</v>
      </c>
      <c r="C19" s="50" t="s">
        <v>29</v>
      </c>
      <c r="D19" s="45" t="s">
        <v>18</v>
      </c>
      <c r="E19" s="44">
        <v>36</v>
      </c>
      <c r="F19" s="51">
        <v>3310558</v>
      </c>
      <c r="G19" s="49">
        <f>+E19*F19</f>
        <v>119180088</v>
      </c>
    </row>
    <row r="20" spans="1:7" s="40" customFormat="1" ht="14.25" customHeight="1" thickBot="1" x14ac:dyDescent="0.25">
      <c r="A20" s="210" t="s">
        <v>30</v>
      </c>
      <c r="B20" s="211"/>
      <c r="C20" s="211"/>
      <c r="D20" s="211"/>
      <c r="E20" s="211"/>
      <c r="F20" s="212"/>
      <c r="G20" s="49">
        <f>SUM(G16:G19)</f>
        <v>180786454.38</v>
      </c>
    </row>
    <row r="21" spans="1:7" s="40" customFormat="1" ht="14.25" customHeight="1" x14ac:dyDescent="0.2">
      <c r="A21" s="228" t="s">
        <v>31</v>
      </c>
      <c r="B21" s="214"/>
      <c r="C21" s="214"/>
      <c r="D21" s="214"/>
      <c r="E21" s="214"/>
      <c r="F21" s="214"/>
      <c r="G21" s="264"/>
    </row>
    <row r="22" spans="1:7" s="40" customFormat="1" ht="14.25" customHeight="1" x14ac:dyDescent="0.2">
      <c r="A22" s="52">
        <v>2.1</v>
      </c>
      <c r="B22" s="185"/>
      <c r="C22" s="42" t="s">
        <v>32</v>
      </c>
      <c r="D22" s="45"/>
      <c r="E22" s="44"/>
      <c r="F22" s="48"/>
      <c r="G22" s="46"/>
    </row>
    <row r="23" spans="1:7" s="40" customFormat="1" ht="14.25" customHeight="1" x14ac:dyDescent="0.2">
      <c r="A23" s="47" t="s">
        <v>33</v>
      </c>
      <c r="B23" s="185" t="s">
        <v>34</v>
      </c>
      <c r="C23" s="43" t="s">
        <v>35</v>
      </c>
      <c r="D23" s="45" t="s">
        <v>18</v>
      </c>
      <c r="E23" s="44">
        <v>26.77</v>
      </c>
      <c r="F23" s="48">
        <v>5498</v>
      </c>
      <c r="G23" s="46">
        <f>+E23*F23</f>
        <v>147181.46</v>
      </c>
    </row>
    <row r="24" spans="1:7" s="40" customFormat="1" ht="12.75" x14ac:dyDescent="0.2">
      <c r="A24" s="47" t="s">
        <v>36</v>
      </c>
      <c r="B24" s="185" t="s">
        <v>37</v>
      </c>
      <c r="C24" s="43" t="s">
        <v>38</v>
      </c>
      <c r="D24" s="45" t="s">
        <v>39</v>
      </c>
      <c r="E24" s="44">
        <v>73.289999999999992</v>
      </c>
      <c r="F24" s="48">
        <v>20317</v>
      </c>
      <c r="G24" s="46">
        <f>+E24*F24</f>
        <v>1489032.93</v>
      </c>
    </row>
    <row r="25" spans="1:7" s="40" customFormat="1" ht="14.25" customHeight="1" x14ac:dyDescent="0.2">
      <c r="A25" s="47" t="s">
        <v>40</v>
      </c>
      <c r="B25" s="185" t="s">
        <v>41</v>
      </c>
      <c r="C25" s="43" t="s">
        <v>42</v>
      </c>
      <c r="D25" s="45" t="s">
        <v>39</v>
      </c>
      <c r="E25" s="44">
        <f>+E24-E28</f>
        <v>40.154999999999994</v>
      </c>
      <c r="F25" s="48">
        <v>8854</v>
      </c>
      <c r="G25" s="46">
        <f>+E25*F25</f>
        <v>355532.36999999994</v>
      </c>
    </row>
    <row r="26" spans="1:7" s="40" customFormat="1" ht="14.25" customHeight="1" x14ac:dyDescent="0.2">
      <c r="A26" s="47"/>
      <c r="B26" s="185"/>
      <c r="C26" s="43"/>
      <c r="D26" s="45"/>
      <c r="E26" s="44"/>
      <c r="F26" s="48"/>
      <c r="G26" s="46"/>
    </row>
    <row r="27" spans="1:7" s="40" customFormat="1" ht="14.25" customHeight="1" x14ac:dyDescent="0.2">
      <c r="A27" s="52">
        <v>2.2000000000000002</v>
      </c>
      <c r="B27" s="185"/>
      <c r="C27" s="42" t="s">
        <v>43</v>
      </c>
      <c r="D27" s="45"/>
      <c r="E27" s="44"/>
      <c r="F27" s="48"/>
      <c r="G27" s="46"/>
    </row>
    <row r="28" spans="1:7" s="40" customFormat="1" ht="14.25" customHeight="1" x14ac:dyDescent="0.2">
      <c r="A28" s="47" t="s">
        <v>44</v>
      </c>
      <c r="B28" s="185" t="s">
        <v>45</v>
      </c>
      <c r="C28" s="43" t="s">
        <v>46</v>
      </c>
      <c r="D28" s="45" t="s">
        <v>39</v>
      </c>
      <c r="E28" s="44">
        <v>33.134999999999998</v>
      </c>
      <c r="F28" s="48">
        <v>18202</v>
      </c>
      <c r="G28" s="46">
        <f>+E28*F28</f>
        <v>603123.27</v>
      </c>
    </row>
    <row r="29" spans="1:7" s="59" customFormat="1" ht="14.25" customHeight="1" x14ac:dyDescent="0.2">
      <c r="A29" s="53"/>
      <c r="B29" s="180"/>
      <c r="C29" s="54"/>
      <c r="D29" s="55"/>
      <c r="E29" s="56"/>
      <c r="F29" s="57"/>
      <c r="G29" s="58"/>
    </row>
    <row r="30" spans="1:7" s="40" customFormat="1" ht="14.25" customHeight="1" x14ac:dyDescent="0.2">
      <c r="A30" s="52">
        <v>2.2999999999999998</v>
      </c>
      <c r="B30" s="185"/>
      <c r="C30" s="42" t="s">
        <v>47</v>
      </c>
      <c r="D30" s="45"/>
      <c r="E30" s="44"/>
      <c r="F30" s="48"/>
      <c r="G30" s="46"/>
    </row>
    <row r="31" spans="1:7" s="40" customFormat="1" ht="14.25" customHeight="1" x14ac:dyDescent="0.2">
      <c r="A31" s="47" t="s">
        <v>48</v>
      </c>
      <c r="B31" s="185" t="s">
        <v>49</v>
      </c>
      <c r="C31" s="43" t="s">
        <v>50</v>
      </c>
      <c r="D31" s="45" t="s">
        <v>39</v>
      </c>
      <c r="E31" s="44">
        <v>2.677</v>
      </c>
      <c r="F31" s="48">
        <v>291746</v>
      </c>
      <c r="G31" s="46">
        <f>+E31*F31</f>
        <v>781004.04200000002</v>
      </c>
    </row>
    <row r="32" spans="1:7" s="40" customFormat="1" ht="14.25" customHeight="1" x14ac:dyDescent="0.2">
      <c r="A32" s="47" t="s">
        <v>51</v>
      </c>
      <c r="B32" s="185" t="s">
        <v>52</v>
      </c>
      <c r="C32" s="43" t="s">
        <v>53</v>
      </c>
      <c r="D32" s="45" t="s">
        <v>39</v>
      </c>
      <c r="E32" s="44">
        <v>5.3540000000000001</v>
      </c>
      <c r="F32" s="48">
        <v>739963</v>
      </c>
      <c r="G32" s="46">
        <f>+E32*F32</f>
        <v>3961761.9020000002</v>
      </c>
    </row>
    <row r="33" spans="1:7" s="201" customFormat="1" ht="14.25" customHeight="1" x14ac:dyDescent="0.2">
      <c r="A33" s="47" t="s">
        <v>54</v>
      </c>
      <c r="B33" s="185" t="s">
        <v>55</v>
      </c>
      <c r="C33" s="43" t="s">
        <v>56</v>
      </c>
      <c r="D33" s="45" t="s">
        <v>39</v>
      </c>
      <c r="E33" s="44">
        <v>12.434640000000003</v>
      </c>
      <c r="F33" s="48">
        <v>770156</v>
      </c>
      <c r="G33" s="46">
        <f>+E33*F33</f>
        <v>9576612.6038400028</v>
      </c>
    </row>
    <row r="34" spans="1:7" s="40" customFormat="1" ht="14.25" customHeight="1" x14ac:dyDescent="0.2">
      <c r="A34" s="47" t="s">
        <v>57</v>
      </c>
      <c r="B34" s="185" t="s">
        <v>58</v>
      </c>
      <c r="C34" s="43" t="s">
        <v>59</v>
      </c>
      <c r="D34" s="45" t="s">
        <v>22</v>
      </c>
      <c r="E34" s="44">
        <v>32.43</v>
      </c>
      <c r="F34" s="48">
        <v>38417</v>
      </c>
      <c r="G34" s="46">
        <f>+E34*F34</f>
        <v>1245863.31</v>
      </c>
    </row>
    <row r="35" spans="1:7" s="59" customFormat="1" ht="14.25" customHeight="1" x14ac:dyDescent="0.2">
      <c r="A35" s="53"/>
      <c r="B35" s="180"/>
      <c r="C35" s="54"/>
      <c r="D35" s="55"/>
      <c r="E35" s="56"/>
      <c r="F35" s="57"/>
      <c r="G35" s="58"/>
    </row>
    <row r="36" spans="1:7" s="40" customFormat="1" ht="14.25" customHeight="1" x14ac:dyDescent="0.2">
      <c r="A36" s="52">
        <v>2.4</v>
      </c>
      <c r="B36" s="185"/>
      <c r="C36" s="42" t="s">
        <v>60</v>
      </c>
      <c r="D36" s="45"/>
      <c r="E36" s="44"/>
      <c r="F36" s="48"/>
      <c r="G36" s="46"/>
    </row>
    <row r="37" spans="1:7" s="40" customFormat="1" ht="12.75" x14ac:dyDescent="0.2">
      <c r="A37" s="47" t="s">
        <v>61</v>
      </c>
      <c r="B37" s="185" t="s">
        <v>62</v>
      </c>
      <c r="C37" s="43" t="s">
        <v>63</v>
      </c>
      <c r="D37" s="45" t="s">
        <v>64</v>
      </c>
      <c r="E37" s="44">
        <v>652</v>
      </c>
      <c r="F37" s="48">
        <v>4259</v>
      </c>
      <c r="G37" s="46">
        <f>+E37*F37</f>
        <v>2776868</v>
      </c>
    </row>
    <row r="38" spans="1:7" s="40" customFormat="1" ht="14.25" customHeight="1" x14ac:dyDescent="0.2">
      <c r="A38" s="47"/>
      <c r="B38" s="185"/>
      <c r="C38" s="43"/>
      <c r="D38" s="45"/>
      <c r="E38" s="44"/>
      <c r="F38" s="48"/>
      <c r="G38" s="46"/>
    </row>
    <row r="39" spans="1:7" s="40" customFormat="1" ht="14.25" customHeight="1" x14ac:dyDescent="0.2">
      <c r="A39" s="52">
        <v>2.5</v>
      </c>
      <c r="B39" s="182"/>
      <c r="C39" s="219" t="s">
        <v>65</v>
      </c>
      <c r="D39" s="220"/>
      <c r="E39" s="221"/>
      <c r="F39" s="48"/>
      <c r="G39" s="46"/>
    </row>
    <row r="40" spans="1:7" s="40" customFormat="1" ht="12.75" x14ac:dyDescent="0.2">
      <c r="A40" s="47" t="s">
        <v>66</v>
      </c>
      <c r="B40" s="185" t="s">
        <v>67</v>
      </c>
      <c r="C40" s="43" t="s">
        <v>68</v>
      </c>
      <c r="D40" s="45" t="s">
        <v>26</v>
      </c>
      <c r="E40" s="44">
        <v>1</v>
      </c>
      <c r="F40" s="48">
        <v>1065257</v>
      </c>
      <c r="G40" s="46">
        <f>+E40*F40</f>
        <v>1065257</v>
      </c>
    </row>
    <row r="41" spans="1:7" s="40" customFormat="1" ht="12.75" x14ac:dyDescent="0.2">
      <c r="A41" s="47" t="s">
        <v>69</v>
      </c>
      <c r="B41" s="185" t="s">
        <v>70</v>
      </c>
      <c r="C41" s="43" t="s">
        <v>71</v>
      </c>
      <c r="D41" s="45" t="s">
        <v>26</v>
      </c>
      <c r="E41" s="44">
        <v>1</v>
      </c>
      <c r="F41" s="48">
        <v>1944369</v>
      </c>
      <c r="G41" s="46">
        <f>+E41*F41</f>
        <v>1944369</v>
      </c>
    </row>
    <row r="42" spans="1:7" s="40" customFormat="1" ht="12.75" x14ac:dyDescent="0.2">
      <c r="A42" s="47" t="s">
        <v>72</v>
      </c>
      <c r="B42" s="185" t="s">
        <v>73</v>
      </c>
      <c r="C42" s="43" t="s">
        <v>74</v>
      </c>
      <c r="D42" s="45" t="s">
        <v>26</v>
      </c>
      <c r="E42" s="44">
        <v>2</v>
      </c>
      <c r="F42" s="48">
        <v>380596</v>
      </c>
      <c r="G42" s="46">
        <f>+E42*F42</f>
        <v>761192</v>
      </c>
    </row>
    <row r="43" spans="1:7" s="40" customFormat="1" ht="12.75" x14ac:dyDescent="0.2">
      <c r="A43" s="47" t="s">
        <v>75</v>
      </c>
      <c r="B43" s="185" t="s">
        <v>76</v>
      </c>
      <c r="C43" s="43" t="s">
        <v>77</v>
      </c>
      <c r="D43" s="45" t="s">
        <v>26</v>
      </c>
      <c r="E43" s="44">
        <v>1</v>
      </c>
      <c r="F43" s="48">
        <v>808835</v>
      </c>
      <c r="G43" s="46">
        <f>+E43*F43</f>
        <v>808835</v>
      </c>
    </row>
    <row r="44" spans="1:7" s="40" customFormat="1" ht="14.25" customHeight="1" x14ac:dyDescent="0.2">
      <c r="A44" s="47"/>
      <c r="B44" s="185"/>
      <c r="C44" s="43"/>
      <c r="D44" s="45"/>
      <c r="E44" s="44"/>
      <c r="F44" s="48"/>
      <c r="G44" s="46"/>
    </row>
    <row r="45" spans="1:7" s="40" customFormat="1" ht="27.75" customHeight="1" x14ac:dyDescent="0.2">
      <c r="A45" s="52">
        <v>2.6</v>
      </c>
      <c r="B45" s="182"/>
      <c r="C45" s="219" t="s">
        <v>78</v>
      </c>
      <c r="D45" s="220"/>
      <c r="E45" s="221"/>
      <c r="F45" s="48"/>
      <c r="G45" s="46"/>
    </row>
    <row r="46" spans="1:7" s="40" customFormat="1" ht="27" customHeight="1" x14ac:dyDescent="0.2">
      <c r="A46" s="52"/>
      <c r="B46" s="182"/>
      <c r="C46" s="166" t="s">
        <v>79</v>
      </c>
      <c r="D46" s="165"/>
      <c r="E46" s="170"/>
      <c r="F46" s="48"/>
      <c r="G46" s="46"/>
    </row>
    <row r="47" spans="1:7" s="40" customFormat="1" ht="12.75" x14ac:dyDescent="0.2">
      <c r="A47" s="47" t="s">
        <v>80</v>
      </c>
      <c r="B47" s="187" t="s">
        <v>81</v>
      </c>
      <c r="C47" s="43" t="s">
        <v>82</v>
      </c>
      <c r="D47" s="45" t="s">
        <v>22</v>
      </c>
      <c r="E47" s="44">
        <v>112.9</v>
      </c>
      <c r="F47" s="48">
        <v>163302</v>
      </c>
      <c r="G47" s="46">
        <f>+E47*F47</f>
        <v>18436795.800000001</v>
      </c>
    </row>
    <row r="48" spans="1:7" s="40" customFormat="1" ht="12.75" x14ac:dyDescent="0.2">
      <c r="A48" s="47"/>
      <c r="B48" s="187"/>
      <c r="C48" s="84"/>
      <c r="D48" s="45"/>
      <c r="E48" s="44"/>
      <c r="F48" s="51"/>
      <c r="G48" s="60"/>
    </row>
    <row r="49" spans="1:7" s="40" customFormat="1" ht="12.75" x14ac:dyDescent="0.2">
      <c r="A49" s="47"/>
      <c r="B49" s="187"/>
      <c r="C49" s="166" t="s">
        <v>83</v>
      </c>
      <c r="D49" s="45"/>
      <c r="E49" s="44"/>
      <c r="F49" s="51"/>
      <c r="G49" s="60"/>
    </row>
    <row r="50" spans="1:7" s="40" customFormat="1" ht="12.75" x14ac:dyDescent="0.2">
      <c r="A50" s="47" t="s">
        <v>84</v>
      </c>
      <c r="B50" s="187" t="s">
        <v>85</v>
      </c>
      <c r="C50" s="43" t="s">
        <v>86</v>
      </c>
      <c r="D50" s="45" t="s">
        <v>22</v>
      </c>
      <c r="E50" s="44">
        <v>13.3</v>
      </c>
      <c r="F50" s="51">
        <v>52765</v>
      </c>
      <c r="G50" s="60">
        <f>+E50*F50</f>
        <v>701774.5</v>
      </c>
    </row>
    <row r="51" spans="1:7" s="40" customFormat="1" ht="14.25" customHeight="1" thickBot="1" x14ac:dyDescent="0.25">
      <c r="A51" s="210" t="s">
        <v>30</v>
      </c>
      <c r="B51" s="211"/>
      <c r="C51" s="211"/>
      <c r="D51" s="211"/>
      <c r="E51" s="211"/>
      <c r="F51" s="212"/>
      <c r="G51" s="61">
        <f>SUM(G23:G50)</f>
        <v>44655203.18784</v>
      </c>
    </row>
    <row r="52" spans="1:7" s="40" customFormat="1" ht="14.25" customHeight="1" x14ac:dyDescent="0.2">
      <c r="A52" s="257" t="s">
        <v>87</v>
      </c>
      <c r="B52" s="257"/>
      <c r="C52" s="257"/>
      <c r="D52" s="257"/>
      <c r="E52" s="257"/>
      <c r="F52" s="257"/>
      <c r="G52" s="257"/>
    </row>
    <row r="53" spans="1:7" s="40" customFormat="1" ht="14.25" customHeight="1" x14ac:dyDescent="0.2">
      <c r="A53" s="62"/>
      <c r="B53" s="187"/>
      <c r="C53" s="43"/>
      <c r="D53" s="45"/>
      <c r="E53" s="44"/>
      <c r="F53" s="48"/>
      <c r="G53" s="49"/>
    </row>
    <row r="54" spans="1:7" s="40" customFormat="1" ht="14.25" customHeight="1" x14ac:dyDescent="0.2">
      <c r="A54" s="52">
        <v>3.1</v>
      </c>
      <c r="B54" s="185"/>
      <c r="C54" s="42" t="s">
        <v>32</v>
      </c>
      <c r="D54" s="45"/>
      <c r="E54" s="44"/>
      <c r="F54" s="48"/>
      <c r="G54" s="46"/>
    </row>
    <row r="55" spans="1:7" s="40" customFormat="1" ht="14.25" customHeight="1" x14ac:dyDescent="0.2">
      <c r="A55" s="47" t="s">
        <v>88</v>
      </c>
      <c r="B55" s="185" t="s">
        <v>34</v>
      </c>
      <c r="C55" s="43" t="s">
        <v>35</v>
      </c>
      <c r="D55" s="45" t="s">
        <v>18</v>
      </c>
      <c r="E55" s="44">
        <v>81</v>
      </c>
      <c r="F55" s="48">
        <v>5498</v>
      </c>
      <c r="G55" s="46">
        <f>+E55*F55</f>
        <v>445338</v>
      </c>
    </row>
    <row r="56" spans="1:7" s="40" customFormat="1" ht="12.75" x14ac:dyDescent="0.2">
      <c r="A56" s="47" t="s">
        <v>89</v>
      </c>
      <c r="B56" s="185" t="s">
        <v>37</v>
      </c>
      <c r="C56" s="43" t="s">
        <v>90</v>
      </c>
      <c r="D56" s="45" t="s">
        <v>39</v>
      </c>
      <c r="E56" s="44">
        <v>151.13</v>
      </c>
      <c r="F56" s="48">
        <v>20317</v>
      </c>
      <c r="G56" s="46">
        <f>+E56*F56</f>
        <v>3070508.21</v>
      </c>
    </row>
    <row r="57" spans="1:7" s="40" customFormat="1" ht="14.25" customHeight="1" x14ac:dyDescent="0.2">
      <c r="A57" s="47"/>
      <c r="B57" s="185"/>
      <c r="C57" s="43"/>
      <c r="D57" s="45"/>
      <c r="E57" s="44"/>
      <c r="F57" s="48"/>
      <c r="G57" s="46"/>
    </row>
    <row r="58" spans="1:7" s="40" customFormat="1" ht="14.25" customHeight="1" x14ac:dyDescent="0.2">
      <c r="A58" s="52">
        <v>3.2</v>
      </c>
      <c r="B58" s="185"/>
      <c r="C58" s="42" t="s">
        <v>91</v>
      </c>
      <c r="D58" s="45"/>
      <c r="E58" s="44"/>
      <c r="F58" s="48"/>
      <c r="G58" s="46"/>
    </row>
    <row r="59" spans="1:7" s="40" customFormat="1" ht="28.5" customHeight="1" x14ac:dyDescent="0.2">
      <c r="A59" s="47" t="s">
        <v>92</v>
      </c>
      <c r="B59" s="185" t="s">
        <v>93</v>
      </c>
      <c r="C59" s="43" t="s">
        <v>94</v>
      </c>
      <c r="D59" s="45" t="s">
        <v>39</v>
      </c>
      <c r="E59" s="44">
        <v>174.07830000000001</v>
      </c>
      <c r="F59" s="48">
        <v>82535.09</v>
      </c>
      <c r="G59" s="46">
        <f t="shared" ref="G59:G60" si="0">+E59*F59</f>
        <v>14367568.157547001</v>
      </c>
    </row>
    <row r="60" spans="1:7" s="40" customFormat="1" ht="14.25" customHeight="1" x14ac:dyDescent="0.2">
      <c r="A60" s="47" t="s">
        <v>95</v>
      </c>
      <c r="B60" s="185" t="s">
        <v>96</v>
      </c>
      <c r="C60" s="43" t="s">
        <v>97</v>
      </c>
      <c r="D60" s="45" t="s">
        <v>18</v>
      </c>
      <c r="E60" s="44">
        <v>217.66399999999999</v>
      </c>
      <c r="F60" s="48">
        <v>34575</v>
      </c>
      <c r="G60" s="46">
        <f t="shared" si="0"/>
        <v>7525732.7999999998</v>
      </c>
    </row>
    <row r="61" spans="1:7" s="40" customFormat="1" ht="14.25" customHeight="1" x14ac:dyDescent="0.2">
      <c r="A61" s="52"/>
      <c r="B61" s="185"/>
      <c r="C61" s="42"/>
      <c r="D61" s="45"/>
      <c r="E61" s="44"/>
      <c r="F61" s="48"/>
      <c r="G61" s="46"/>
    </row>
    <row r="62" spans="1:7" s="40" customFormat="1" ht="14.25" customHeight="1" x14ac:dyDescent="0.2">
      <c r="A62" s="52">
        <v>3.3</v>
      </c>
      <c r="B62" s="185"/>
      <c r="C62" s="42" t="s">
        <v>98</v>
      </c>
      <c r="D62" s="45"/>
      <c r="E62" s="44"/>
      <c r="F62" s="48"/>
      <c r="G62" s="46"/>
    </row>
    <row r="63" spans="1:7" s="40" customFormat="1" ht="14.25" customHeight="1" x14ac:dyDescent="0.2">
      <c r="A63" s="47" t="s">
        <v>99</v>
      </c>
      <c r="B63" s="185" t="s">
        <v>49</v>
      </c>
      <c r="C63" s="43" t="s">
        <v>50</v>
      </c>
      <c r="D63" s="45" t="s">
        <v>39</v>
      </c>
      <c r="E63" s="44">
        <v>7.5637500000000006</v>
      </c>
      <c r="F63" s="48">
        <v>291746</v>
      </c>
      <c r="G63" s="46">
        <f t="shared" ref="G63:G68" si="1">+E63*F63</f>
        <v>2206693.8075000001</v>
      </c>
    </row>
    <row r="64" spans="1:7" s="40" customFormat="1" ht="14.25" customHeight="1" x14ac:dyDescent="0.2">
      <c r="A64" s="47" t="s">
        <v>100</v>
      </c>
      <c r="B64" s="185" t="s">
        <v>52</v>
      </c>
      <c r="C64" s="43" t="s">
        <v>101</v>
      </c>
      <c r="D64" s="45" t="s">
        <v>39</v>
      </c>
      <c r="E64" s="44">
        <v>15.612500000000001</v>
      </c>
      <c r="F64" s="48">
        <v>739963</v>
      </c>
      <c r="G64" s="46">
        <f t="shared" si="1"/>
        <v>11552672.3375</v>
      </c>
    </row>
    <row r="65" spans="1:7" s="40" customFormat="1" ht="14.25" customHeight="1" x14ac:dyDescent="0.2">
      <c r="A65" s="47" t="s">
        <v>102</v>
      </c>
      <c r="B65" s="185" t="s">
        <v>55</v>
      </c>
      <c r="C65" s="43" t="s">
        <v>56</v>
      </c>
      <c r="D65" s="45" t="s">
        <v>39</v>
      </c>
      <c r="E65" s="44">
        <v>43.572749999999992</v>
      </c>
      <c r="F65" s="48">
        <v>770156</v>
      </c>
      <c r="G65" s="46">
        <f t="shared" si="1"/>
        <v>33557814.848999992</v>
      </c>
    </row>
    <row r="66" spans="1:7" s="40" customFormat="1" ht="14.25" customHeight="1" x14ac:dyDescent="0.2">
      <c r="A66" s="47" t="s">
        <v>103</v>
      </c>
      <c r="B66" s="185" t="s">
        <v>55</v>
      </c>
      <c r="C66" s="43" t="s">
        <v>104</v>
      </c>
      <c r="D66" s="45" t="s">
        <v>39</v>
      </c>
      <c r="E66" s="44">
        <v>4.6070000000000011</v>
      </c>
      <c r="F66" s="48">
        <v>770156</v>
      </c>
      <c r="G66" s="46">
        <f t="shared" si="1"/>
        <v>3548108.6920000007</v>
      </c>
    </row>
    <row r="67" spans="1:7" s="40" customFormat="1" ht="14.25" customHeight="1" x14ac:dyDescent="0.2">
      <c r="A67" s="47" t="s">
        <v>105</v>
      </c>
      <c r="B67" s="185" t="s">
        <v>58</v>
      </c>
      <c r="C67" s="43" t="s">
        <v>59</v>
      </c>
      <c r="D67" s="45" t="s">
        <v>22</v>
      </c>
      <c r="E67" s="44">
        <v>23.552</v>
      </c>
      <c r="F67" s="48">
        <v>38417</v>
      </c>
      <c r="G67" s="46">
        <f t="shared" si="1"/>
        <v>904797.18400000001</v>
      </c>
    </row>
    <row r="68" spans="1:7" s="40" customFormat="1" ht="14.25" customHeight="1" x14ac:dyDescent="0.2">
      <c r="A68" s="47" t="s">
        <v>106</v>
      </c>
      <c r="B68" s="185" t="s">
        <v>107</v>
      </c>
      <c r="C68" s="43" t="s">
        <v>108</v>
      </c>
      <c r="D68" s="45" t="s">
        <v>39</v>
      </c>
      <c r="E68" s="44">
        <v>12.183</v>
      </c>
      <c r="F68" s="48">
        <v>336159</v>
      </c>
      <c r="G68" s="46">
        <f t="shared" si="1"/>
        <v>4095425.0970000001</v>
      </c>
    </row>
    <row r="69" spans="1:7" s="40" customFormat="1" ht="14.25" customHeight="1" x14ac:dyDescent="0.2">
      <c r="A69" s="47"/>
      <c r="B69" s="185"/>
      <c r="C69" s="43"/>
      <c r="D69" s="45"/>
      <c r="E69" s="44"/>
      <c r="F69" s="48"/>
      <c r="G69" s="46"/>
    </row>
    <row r="70" spans="1:7" s="40" customFormat="1" ht="14.25" customHeight="1" x14ac:dyDescent="0.2">
      <c r="A70" s="52">
        <v>3.4</v>
      </c>
      <c r="B70" s="185"/>
      <c r="C70" s="42" t="s">
        <v>60</v>
      </c>
      <c r="D70" s="45"/>
      <c r="E70" s="44"/>
      <c r="F70" s="48"/>
      <c r="G70" s="46"/>
    </row>
    <row r="71" spans="1:7" s="40" customFormat="1" ht="12.75" x14ac:dyDescent="0.2">
      <c r="A71" s="47" t="s">
        <v>109</v>
      </c>
      <c r="B71" s="185" t="s">
        <v>62</v>
      </c>
      <c r="C71" s="43" t="s">
        <v>63</v>
      </c>
      <c r="D71" s="45" t="s">
        <v>64</v>
      </c>
      <c r="E71" s="44">
        <v>6379.2249999999995</v>
      </c>
      <c r="F71" s="48">
        <v>4259</v>
      </c>
      <c r="G71" s="46">
        <f>+E71*F71</f>
        <v>27169119.274999999</v>
      </c>
    </row>
    <row r="72" spans="1:7" s="40" customFormat="1" ht="14.25" customHeight="1" x14ac:dyDescent="0.2">
      <c r="A72" s="47"/>
      <c r="B72" s="185"/>
      <c r="C72" s="43"/>
      <c r="D72" s="45"/>
      <c r="E72" s="44"/>
      <c r="F72" s="48"/>
      <c r="G72" s="46"/>
    </row>
    <row r="73" spans="1:7" s="40" customFormat="1" ht="14.25" customHeight="1" x14ac:dyDescent="0.2">
      <c r="A73" s="52">
        <v>3.5</v>
      </c>
      <c r="B73" s="185"/>
      <c r="C73" s="42" t="s">
        <v>110</v>
      </c>
      <c r="D73" s="45"/>
      <c r="E73" s="44"/>
      <c r="F73" s="48"/>
      <c r="G73" s="46"/>
    </row>
    <row r="74" spans="1:7" s="40" customFormat="1" ht="12.75" x14ac:dyDescent="0.2">
      <c r="A74" s="47" t="s">
        <v>111</v>
      </c>
      <c r="B74" s="185" t="s">
        <v>112</v>
      </c>
      <c r="C74" s="43" t="s">
        <v>113</v>
      </c>
      <c r="D74" s="45" t="s">
        <v>26</v>
      </c>
      <c r="E74" s="70">
        <v>20</v>
      </c>
      <c r="F74" s="48">
        <v>304557</v>
      </c>
      <c r="G74" s="49">
        <f t="shared" ref="G74:G81" si="2">+E74*F74</f>
        <v>6091140</v>
      </c>
    </row>
    <row r="75" spans="1:7" s="40" customFormat="1" ht="12.75" x14ac:dyDescent="0.2">
      <c r="A75" s="47" t="s">
        <v>114</v>
      </c>
      <c r="B75" s="185" t="s">
        <v>115</v>
      </c>
      <c r="C75" s="43" t="s">
        <v>116</v>
      </c>
      <c r="D75" s="45" t="s">
        <v>26</v>
      </c>
      <c r="E75" s="71">
        <v>2</v>
      </c>
      <c r="F75" s="48">
        <v>382741</v>
      </c>
      <c r="G75" s="49">
        <f t="shared" si="2"/>
        <v>765482</v>
      </c>
    </row>
    <row r="76" spans="1:7" s="40" customFormat="1" ht="12.75" x14ac:dyDescent="0.2">
      <c r="A76" s="47" t="s">
        <v>117</v>
      </c>
      <c r="B76" s="185" t="s">
        <v>118</v>
      </c>
      <c r="C76" s="43" t="s">
        <v>119</v>
      </c>
      <c r="D76" s="45" t="s">
        <v>26</v>
      </c>
      <c r="E76" s="71">
        <v>2</v>
      </c>
      <c r="F76" s="48">
        <v>310308</v>
      </c>
      <c r="G76" s="49">
        <f t="shared" si="2"/>
        <v>620616</v>
      </c>
    </row>
    <row r="77" spans="1:7" s="40" customFormat="1" ht="12.75" x14ac:dyDescent="0.2">
      <c r="A77" s="47" t="s">
        <v>120</v>
      </c>
      <c r="B77" s="185" t="s">
        <v>121</v>
      </c>
      <c r="C77" s="43" t="s">
        <v>122</v>
      </c>
      <c r="D77" s="45" t="s">
        <v>26</v>
      </c>
      <c r="E77" s="44">
        <v>2</v>
      </c>
      <c r="F77" s="48">
        <v>230666</v>
      </c>
      <c r="G77" s="49">
        <f t="shared" si="2"/>
        <v>461332</v>
      </c>
    </row>
    <row r="78" spans="1:7" s="40" customFormat="1" ht="12.75" x14ac:dyDescent="0.2">
      <c r="A78" s="47" t="s">
        <v>123</v>
      </c>
      <c r="B78" s="185" t="s">
        <v>124</v>
      </c>
      <c r="C78" s="43" t="s">
        <v>125</v>
      </c>
      <c r="D78" s="45" t="s">
        <v>26</v>
      </c>
      <c r="E78" s="44">
        <v>2</v>
      </c>
      <c r="F78" s="48">
        <v>198327</v>
      </c>
      <c r="G78" s="49">
        <f t="shared" si="2"/>
        <v>396654</v>
      </c>
    </row>
    <row r="79" spans="1:7" s="40" customFormat="1" ht="12.75" x14ac:dyDescent="0.2">
      <c r="A79" s="47" t="s">
        <v>126</v>
      </c>
      <c r="B79" s="185" t="s">
        <v>127</v>
      </c>
      <c r="C79" s="43" t="s">
        <v>128</v>
      </c>
      <c r="D79" s="45" t="s">
        <v>26</v>
      </c>
      <c r="E79" s="44">
        <v>2</v>
      </c>
      <c r="F79" s="48">
        <v>265040</v>
      </c>
      <c r="G79" s="49">
        <f t="shared" si="2"/>
        <v>530080</v>
      </c>
    </row>
    <row r="80" spans="1:7" s="40" customFormat="1" ht="12.75" x14ac:dyDescent="0.2">
      <c r="A80" s="47" t="s">
        <v>129</v>
      </c>
      <c r="B80" s="185" t="s">
        <v>130</v>
      </c>
      <c r="C80" s="43" t="s">
        <v>131</v>
      </c>
      <c r="D80" s="45" t="s">
        <v>26</v>
      </c>
      <c r="E80" s="44">
        <v>2</v>
      </c>
      <c r="F80" s="48">
        <v>538457</v>
      </c>
      <c r="G80" s="49">
        <f t="shared" si="2"/>
        <v>1076914</v>
      </c>
    </row>
    <row r="81" spans="1:7" s="40" customFormat="1" ht="12.75" x14ac:dyDescent="0.2">
      <c r="A81" s="47" t="s">
        <v>132</v>
      </c>
      <c r="B81" s="185" t="s">
        <v>133</v>
      </c>
      <c r="C81" s="43" t="s">
        <v>134</v>
      </c>
      <c r="D81" s="45" t="s">
        <v>26</v>
      </c>
      <c r="E81" s="44">
        <v>2</v>
      </c>
      <c r="F81" s="48">
        <v>400525</v>
      </c>
      <c r="G81" s="49">
        <f t="shared" si="2"/>
        <v>801050</v>
      </c>
    </row>
    <row r="82" spans="1:7" s="69" customFormat="1" ht="12.75" x14ac:dyDescent="0.2">
      <c r="A82" s="63" t="s">
        <v>135</v>
      </c>
      <c r="B82" s="184"/>
      <c r="C82" s="64" t="s">
        <v>136</v>
      </c>
      <c r="D82" s="65" t="s">
        <v>26</v>
      </c>
      <c r="E82" s="66">
        <v>2</v>
      </c>
      <c r="F82" s="67"/>
      <c r="G82" s="72"/>
    </row>
    <row r="83" spans="1:7" s="59" customFormat="1" ht="12.75" x14ac:dyDescent="0.2">
      <c r="A83" s="53"/>
      <c r="B83" s="183"/>
      <c r="C83" s="73"/>
      <c r="D83" s="74"/>
      <c r="E83" s="75"/>
      <c r="F83" s="76"/>
      <c r="G83" s="77"/>
    </row>
    <row r="84" spans="1:7" s="59" customFormat="1" ht="14.25" customHeight="1" x14ac:dyDescent="0.2">
      <c r="A84" s="52">
        <v>3.6</v>
      </c>
      <c r="B84" s="182"/>
      <c r="C84" s="219" t="s">
        <v>137</v>
      </c>
      <c r="D84" s="220"/>
      <c r="E84" s="220"/>
      <c r="F84" s="220"/>
      <c r="G84" s="255"/>
    </row>
    <row r="85" spans="1:7" s="59" customFormat="1" ht="14.25" customHeight="1" x14ac:dyDescent="0.2">
      <c r="A85" s="52" t="s">
        <v>138</v>
      </c>
      <c r="B85" s="182" t="s">
        <v>139</v>
      </c>
      <c r="C85" s="202" t="s">
        <v>140</v>
      </c>
      <c r="D85" s="45" t="s">
        <v>26</v>
      </c>
      <c r="E85" s="44">
        <v>6</v>
      </c>
      <c r="F85" s="48">
        <v>461013</v>
      </c>
      <c r="G85" s="49">
        <f>+E85*F85</f>
        <v>2766078</v>
      </c>
    </row>
    <row r="86" spans="1:7" s="59" customFormat="1" ht="14.25" customHeight="1" x14ac:dyDescent="0.2">
      <c r="A86" s="52" t="s">
        <v>141</v>
      </c>
      <c r="B86" s="182" t="s">
        <v>142</v>
      </c>
      <c r="C86" s="202" t="s">
        <v>143</v>
      </c>
      <c r="D86" s="45" t="s">
        <v>26</v>
      </c>
      <c r="E86" s="44">
        <v>10</v>
      </c>
      <c r="F86" s="48">
        <v>442364</v>
      </c>
      <c r="G86" s="49">
        <f t="shared" ref="G86:G93" si="3">+E86*F86</f>
        <v>4423640</v>
      </c>
    </row>
    <row r="87" spans="1:7" s="59" customFormat="1" ht="14.25" customHeight="1" x14ac:dyDescent="0.2">
      <c r="A87" s="52" t="s">
        <v>144</v>
      </c>
      <c r="B87" s="182" t="s">
        <v>145</v>
      </c>
      <c r="C87" s="202" t="s">
        <v>146</v>
      </c>
      <c r="D87" s="45" t="s">
        <v>26</v>
      </c>
      <c r="E87" s="44">
        <v>4</v>
      </c>
      <c r="F87" s="48">
        <v>204783</v>
      </c>
      <c r="G87" s="49">
        <f t="shared" si="3"/>
        <v>819132</v>
      </c>
    </row>
    <row r="88" spans="1:7" s="59" customFormat="1" ht="14.25" customHeight="1" x14ac:dyDescent="0.2">
      <c r="A88" s="52" t="s">
        <v>147</v>
      </c>
      <c r="B88" s="182" t="s">
        <v>148</v>
      </c>
      <c r="C88" s="202" t="s">
        <v>149</v>
      </c>
      <c r="D88" s="45" t="s">
        <v>26</v>
      </c>
      <c r="E88" s="44">
        <v>6</v>
      </c>
      <c r="F88" s="48">
        <v>2088563</v>
      </c>
      <c r="G88" s="49">
        <f t="shared" si="3"/>
        <v>12531378</v>
      </c>
    </row>
    <row r="89" spans="1:7" s="59" customFormat="1" ht="14.25" customHeight="1" x14ac:dyDescent="0.2">
      <c r="A89" s="52" t="s">
        <v>150</v>
      </c>
      <c r="B89" s="182" t="s">
        <v>151</v>
      </c>
      <c r="C89" s="202" t="s">
        <v>152</v>
      </c>
      <c r="D89" s="45" t="s">
        <v>26</v>
      </c>
      <c r="E89" s="44">
        <v>6</v>
      </c>
      <c r="F89" s="48">
        <v>1453490</v>
      </c>
      <c r="G89" s="49">
        <f t="shared" si="3"/>
        <v>8720940</v>
      </c>
    </row>
    <row r="90" spans="1:7" s="59" customFormat="1" ht="14.25" customHeight="1" x14ac:dyDescent="0.2">
      <c r="A90" s="52" t="s">
        <v>153</v>
      </c>
      <c r="B90" s="182" t="s">
        <v>154</v>
      </c>
      <c r="C90" s="202" t="s">
        <v>155</v>
      </c>
      <c r="D90" s="45" t="s">
        <v>26</v>
      </c>
      <c r="E90" s="44">
        <v>6</v>
      </c>
      <c r="F90" s="48">
        <v>188350</v>
      </c>
      <c r="G90" s="49">
        <f t="shared" si="3"/>
        <v>1130100</v>
      </c>
    </row>
    <row r="91" spans="1:7" s="59" customFormat="1" ht="14.25" customHeight="1" x14ac:dyDescent="0.2">
      <c r="A91" s="52" t="s">
        <v>156</v>
      </c>
      <c r="B91" s="182" t="s">
        <v>157</v>
      </c>
      <c r="C91" s="202" t="s">
        <v>158</v>
      </c>
      <c r="D91" s="45" t="s">
        <v>26</v>
      </c>
      <c r="E91" s="44">
        <v>6</v>
      </c>
      <c r="F91" s="48">
        <v>380013</v>
      </c>
      <c r="G91" s="49">
        <f t="shared" si="3"/>
        <v>2280078</v>
      </c>
    </row>
    <row r="92" spans="1:7" s="59" customFormat="1" ht="14.25" customHeight="1" x14ac:dyDescent="0.2">
      <c r="A92" s="52" t="s">
        <v>159</v>
      </c>
      <c r="B92" s="182" t="s">
        <v>160</v>
      </c>
      <c r="C92" s="202" t="s">
        <v>161</v>
      </c>
      <c r="D92" s="45" t="s">
        <v>26</v>
      </c>
      <c r="E92" s="44">
        <v>2</v>
      </c>
      <c r="F92" s="48">
        <v>706704</v>
      </c>
      <c r="G92" s="49">
        <f t="shared" si="3"/>
        <v>1413408</v>
      </c>
    </row>
    <row r="93" spans="1:7" s="59" customFormat="1" ht="24" customHeight="1" x14ac:dyDescent="0.2">
      <c r="A93" s="52" t="s">
        <v>162</v>
      </c>
      <c r="B93" s="182" t="s">
        <v>163</v>
      </c>
      <c r="C93" s="202" t="s">
        <v>164</v>
      </c>
      <c r="D93" s="45" t="s">
        <v>26</v>
      </c>
      <c r="E93" s="44">
        <v>4</v>
      </c>
      <c r="F93" s="48">
        <v>9015804</v>
      </c>
      <c r="G93" s="49">
        <f t="shared" si="3"/>
        <v>36063216</v>
      </c>
    </row>
    <row r="94" spans="1:7" s="59" customFormat="1" ht="14.25" customHeight="1" x14ac:dyDescent="0.2">
      <c r="A94" s="78"/>
      <c r="B94" s="181"/>
      <c r="C94" s="50"/>
      <c r="D94" s="79"/>
      <c r="E94" s="80"/>
      <c r="F94" s="51"/>
      <c r="G94" s="81"/>
    </row>
    <row r="95" spans="1:7" s="59" customFormat="1" ht="29.25" customHeight="1" x14ac:dyDescent="0.2">
      <c r="A95" s="52">
        <v>3.7</v>
      </c>
      <c r="B95" s="182"/>
      <c r="C95" s="219" t="s">
        <v>78</v>
      </c>
      <c r="D95" s="220"/>
      <c r="E95" s="221"/>
      <c r="F95" s="51"/>
      <c r="G95" s="81"/>
    </row>
    <row r="96" spans="1:7" s="59" customFormat="1" ht="14.25" customHeight="1" x14ac:dyDescent="0.2">
      <c r="A96" s="52" t="s">
        <v>165</v>
      </c>
      <c r="B96" s="182"/>
      <c r="C96" s="166" t="s">
        <v>166</v>
      </c>
      <c r="D96" s="165"/>
      <c r="E96" s="170"/>
      <c r="F96" s="51"/>
      <c r="G96" s="81"/>
    </row>
    <row r="97" spans="1:7" s="59" customFormat="1" ht="14.25" customHeight="1" x14ac:dyDescent="0.2">
      <c r="A97" s="52" t="s">
        <v>167</v>
      </c>
      <c r="B97" s="182" t="s">
        <v>168</v>
      </c>
      <c r="C97" s="203" t="s">
        <v>169</v>
      </c>
      <c r="D97" s="45" t="s">
        <v>26</v>
      </c>
      <c r="E97" s="44">
        <v>2</v>
      </c>
      <c r="F97" s="51">
        <v>21278</v>
      </c>
      <c r="G97" s="81">
        <f>+E97*F97</f>
        <v>42556</v>
      </c>
    </row>
    <row r="98" spans="1:7" s="59" customFormat="1" ht="14.25" customHeight="1" x14ac:dyDescent="0.2">
      <c r="A98" s="52" t="s">
        <v>170</v>
      </c>
      <c r="B98" s="182" t="s">
        <v>171</v>
      </c>
      <c r="C98" s="203" t="s">
        <v>172</v>
      </c>
      <c r="D98" s="45" t="s">
        <v>22</v>
      </c>
      <c r="E98" s="44">
        <v>30.3</v>
      </c>
      <c r="F98" s="51">
        <v>68028</v>
      </c>
      <c r="G98" s="81">
        <f t="shared" ref="G98:G102" si="4">+E98*F98</f>
        <v>2061248.4000000001</v>
      </c>
    </row>
    <row r="99" spans="1:7" s="59" customFormat="1" ht="14.25" customHeight="1" x14ac:dyDescent="0.2">
      <c r="A99" s="52" t="s">
        <v>173</v>
      </c>
      <c r="B99" s="182" t="s">
        <v>174</v>
      </c>
      <c r="C99" s="203" t="s">
        <v>175</v>
      </c>
      <c r="D99" s="45" t="s">
        <v>26</v>
      </c>
      <c r="E99" s="44">
        <v>2</v>
      </c>
      <c r="F99" s="51">
        <v>295088</v>
      </c>
      <c r="G99" s="81">
        <f t="shared" si="4"/>
        <v>590176</v>
      </c>
    </row>
    <row r="100" spans="1:7" s="59" customFormat="1" ht="14.25" customHeight="1" x14ac:dyDescent="0.2">
      <c r="A100" s="52" t="s">
        <v>176</v>
      </c>
      <c r="B100" s="182" t="s">
        <v>177</v>
      </c>
      <c r="C100" s="203" t="s">
        <v>178</v>
      </c>
      <c r="D100" s="45" t="s">
        <v>26</v>
      </c>
      <c r="E100" s="44">
        <v>2</v>
      </c>
      <c r="F100" s="51">
        <v>21278</v>
      </c>
      <c r="G100" s="81">
        <f t="shared" si="4"/>
        <v>42556</v>
      </c>
    </row>
    <row r="101" spans="1:7" s="59" customFormat="1" ht="14.25" customHeight="1" x14ac:dyDescent="0.2">
      <c r="A101" s="52" t="s">
        <v>179</v>
      </c>
      <c r="B101" s="182" t="s">
        <v>171</v>
      </c>
      <c r="C101" s="203" t="s">
        <v>180</v>
      </c>
      <c r="D101" s="45" t="s">
        <v>22</v>
      </c>
      <c r="E101" s="44">
        <v>58.5</v>
      </c>
      <c r="F101" s="51">
        <f>+F98</f>
        <v>68028</v>
      </c>
      <c r="G101" s="81">
        <f t="shared" si="4"/>
        <v>3979638</v>
      </c>
    </row>
    <row r="102" spans="1:7" s="59" customFormat="1" ht="14.25" customHeight="1" x14ac:dyDescent="0.2">
      <c r="A102" s="52" t="s">
        <v>181</v>
      </c>
      <c r="B102" s="182" t="str">
        <f>+B99</f>
        <v>J43</v>
      </c>
      <c r="C102" s="203" t="s">
        <v>175</v>
      </c>
      <c r="D102" s="45" t="s">
        <v>26</v>
      </c>
      <c r="E102" s="44">
        <v>6</v>
      </c>
      <c r="F102" s="51">
        <v>295088</v>
      </c>
      <c r="G102" s="81">
        <f t="shared" si="4"/>
        <v>1770528</v>
      </c>
    </row>
    <row r="103" spans="1:7" s="59" customFormat="1" ht="14.25" customHeight="1" thickBot="1" x14ac:dyDescent="0.25">
      <c r="A103" s="210" t="s">
        <v>30</v>
      </c>
      <c r="B103" s="211"/>
      <c r="C103" s="211"/>
      <c r="D103" s="211"/>
      <c r="E103" s="211"/>
      <c r="F103" s="212"/>
      <c r="G103" s="61">
        <f>SUM(G55:G102)</f>
        <v>197821718.80954701</v>
      </c>
    </row>
    <row r="104" spans="1:7" s="40" customFormat="1" ht="14.25" customHeight="1" x14ac:dyDescent="0.2">
      <c r="A104" s="257" t="s">
        <v>182</v>
      </c>
      <c r="B104" s="257"/>
      <c r="C104" s="257" t="s">
        <v>183</v>
      </c>
      <c r="D104" s="257"/>
      <c r="E104" s="257"/>
      <c r="F104" s="257"/>
      <c r="G104" s="257"/>
    </row>
    <row r="105" spans="1:7" s="40" customFormat="1" ht="14.25" customHeight="1" x14ac:dyDescent="0.2">
      <c r="A105" s="47"/>
      <c r="B105" s="185"/>
      <c r="C105" s="43"/>
      <c r="D105" s="45"/>
      <c r="E105" s="44"/>
      <c r="F105" s="48"/>
      <c r="G105" s="46"/>
    </row>
    <row r="106" spans="1:7" s="40" customFormat="1" ht="14.25" customHeight="1" x14ac:dyDescent="0.2">
      <c r="A106" s="52">
        <v>4.0999999999999996</v>
      </c>
      <c r="B106" s="185"/>
      <c r="C106" s="42" t="s">
        <v>184</v>
      </c>
      <c r="D106" s="45"/>
      <c r="E106" s="44"/>
      <c r="F106" s="48"/>
      <c r="G106" s="46"/>
    </row>
    <row r="107" spans="1:7" s="40" customFormat="1" ht="14.25" customHeight="1" x14ac:dyDescent="0.2">
      <c r="A107" s="47" t="s">
        <v>185</v>
      </c>
      <c r="B107" s="185" t="s">
        <v>34</v>
      </c>
      <c r="C107" s="43" t="s">
        <v>35</v>
      </c>
      <c r="D107" s="45" t="s">
        <v>18</v>
      </c>
      <c r="E107" s="44">
        <v>478</v>
      </c>
      <c r="F107" s="48">
        <v>5498</v>
      </c>
      <c r="G107" s="46">
        <f>+E107*F107</f>
        <v>2628044</v>
      </c>
    </row>
    <row r="108" spans="1:7" s="40" customFormat="1" ht="14.25" customHeight="1" x14ac:dyDescent="0.2">
      <c r="A108" s="47"/>
      <c r="B108" s="185"/>
      <c r="C108" s="43"/>
      <c r="D108" s="45"/>
      <c r="E108" s="44"/>
      <c r="F108" s="48"/>
      <c r="G108" s="46"/>
    </row>
    <row r="109" spans="1:7" s="40" customFormat="1" ht="14.25" customHeight="1" x14ac:dyDescent="0.2">
      <c r="A109" s="52">
        <v>4.2</v>
      </c>
      <c r="B109" s="185"/>
      <c r="C109" s="42" t="s">
        <v>91</v>
      </c>
      <c r="D109" s="45"/>
      <c r="E109" s="44"/>
      <c r="F109" s="48"/>
      <c r="G109" s="46"/>
    </row>
    <row r="110" spans="1:7" s="40" customFormat="1" ht="29.25" customHeight="1" x14ac:dyDescent="0.2">
      <c r="A110" s="52" t="s">
        <v>186</v>
      </c>
      <c r="B110" s="185" t="s">
        <v>93</v>
      </c>
      <c r="C110" s="43" t="s">
        <v>94</v>
      </c>
      <c r="D110" s="45" t="s">
        <v>39</v>
      </c>
      <c r="E110" s="44">
        <v>338.49200000000008</v>
      </c>
      <c r="F110" s="48">
        <v>82535.09</v>
      </c>
      <c r="G110" s="46">
        <f>E110*F110</f>
        <v>27937467.684280004</v>
      </c>
    </row>
    <row r="111" spans="1:7" s="40" customFormat="1" ht="14.25" customHeight="1" x14ac:dyDescent="0.2">
      <c r="A111" s="52" t="s">
        <v>187</v>
      </c>
      <c r="B111" s="185" t="s">
        <v>188</v>
      </c>
      <c r="C111" s="193" t="s">
        <v>189</v>
      </c>
      <c r="D111" s="45" t="s">
        <v>39</v>
      </c>
      <c r="E111" s="44">
        <v>323.11</v>
      </c>
      <c r="F111" s="48">
        <v>64314</v>
      </c>
      <c r="G111" s="46">
        <f>E111*F111</f>
        <v>20780496.539999999</v>
      </c>
    </row>
    <row r="112" spans="1:7" s="40" customFormat="1" ht="13.5" customHeight="1" x14ac:dyDescent="0.2">
      <c r="A112" s="52" t="s">
        <v>190</v>
      </c>
      <c r="B112" s="185" t="s">
        <v>191</v>
      </c>
      <c r="C112" s="43" t="s">
        <v>192</v>
      </c>
      <c r="D112" s="45" t="s">
        <v>26</v>
      </c>
      <c r="E112" s="116">
        <v>110</v>
      </c>
      <c r="F112" s="48">
        <v>120200</v>
      </c>
      <c r="G112" s="46">
        <f>E112*F112</f>
        <v>13222000</v>
      </c>
    </row>
    <row r="113" spans="1:7" s="40" customFormat="1" ht="14.25" customHeight="1" x14ac:dyDescent="0.2">
      <c r="A113" s="47"/>
      <c r="B113" s="185"/>
      <c r="C113" s="43"/>
      <c r="D113" s="45"/>
      <c r="E113" s="44"/>
      <c r="F113" s="48"/>
      <c r="G113" s="46"/>
    </row>
    <row r="114" spans="1:7" s="40" customFormat="1" ht="14.25" customHeight="1" x14ac:dyDescent="0.2">
      <c r="A114" s="47"/>
      <c r="B114" s="185"/>
      <c r="C114" s="43"/>
      <c r="D114" s="45"/>
      <c r="E114" s="44"/>
      <c r="F114" s="48"/>
      <c r="G114" s="46"/>
    </row>
    <row r="115" spans="1:7" s="40" customFormat="1" ht="14.25" customHeight="1" x14ac:dyDescent="0.2">
      <c r="A115" s="52">
        <v>4.3</v>
      </c>
      <c r="B115" s="185"/>
      <c r="C115" s="42" t="s">
        <v>47</v>
      </c>
      <c r="D115" s="45"/>
      <c r="E115" s="44"/>
      <c r="F115" s="48"/>
      <c r="G115" s="46"/>
    </row>
    <row r="116" spans="1:7" s="40" customFormat="1" ht="14.25" customHeight="1" x14ac:dyDescent="0.2">
      <c r="A116" s="47" t="s">
        <v>193</v>
      </c>
      <c r="B116" s="185" t="s">
        <v>49</v>
      </c>
      <c r="C116" s="43" t="s">
        <v>50</v>
      </c>
      <c r="D116" s="45" t="s">
        <v>39</v>
      </c>
      <c r="E116" s="44">
        <v>19.121169999999999</v>
      </c>
      <c r="F116" s="48">
        <v>291746</v>
      </c>
      <c r="G116" s="46">
        <f t="shared" ref="G116:G122" si="5">+E116*F116</f>
        <v>5578524.8628199995</v>
      </c>
    </row>
    <row r="117" spans="1:7" s="40" customFormat="1" ht="14.25" customHeight="1" x14ac:dyDescent="0.2">
      <c r="A117" s="47" t="s">
        <v>194</v>
      </c>
      <c r="B117" s="185" t="s">
        <v>52</v>
      </c>
      <c r="C117" s="43" t="s">
        <v>195</v>
      </c>
      <c r="D117" s="45" t="s">
        <v>39</v>
      </c>
      <c r="E117" s="44">
        <v>38.008339999999997</v>
      </c>
      <c r="F117" s="48">
        <v>739963</v>
      </c>
      <c r="G117" s="46">
        <f t="shared" si="5"/>
        <v>28124765.291419998</v>
      </c>
    </row>
    <row r="118" spans="1:7" s="40" customFormat="1" ht="14.25" customHeight="1" x14ac:dyDescent="0.2">
      <c r="A118" s="47" t="s">
        <v>196</v>
      </c>
      <c r="B118" s="185" t="s">
        <v>55</v>
      </c>
      <c r="C118" s="43" t="s">
        <v>197</v>
      </c>
      <c r="D118" s="45" t="s">
        <v>39</v>
      </c>
      <c r="E118" s="44">
        <v>245.93295682221603</v>
      </c>
      <c r="F118" s="48">
        <v>770156</v>
      </c>
      <c r="G118" s="46">
        <f t="shared" si="5"/>
        <v>189406742.29437062</v>
      </c>
    </row>
    <row r="119" spans="1:7" s="40" customFormat="1" ht="14.25" customHeight="1" x14ac:dyDescent="0.2">
      <c r="A119" s="47" t="s">
        <v>198</v>
      </c>
      <c r="B119" s="185" t="s">
        <v>55</v>
      </c>
      <c r="C119" s="43" t="s">
        <v>199</v>
      </c>
      <c r="D119" s="45" t="s">
        <v>39</v>
      </c>
      <c r="E119" s="44">
        <v>1.962</v>
      </c>
      <c r="F119" s="48">
        <v>770156</v>
      </c>
      <c r="G119" s="46">
        <f t="shared" si="5"/>
        <v>1511046.0719999999</v>
      </c>
    </row>
    <row r="120" spans="1:7" s="40" customFormat="1" ht="14.25" customHeight="1" x14ac:dyDescent="0.2">
      <c r="A120" s="47" t="s">
        <v>200</v>
      </c>
      <c r="B120" s="185" t="s">
        <v>55</v>
      </c>
      <c r="C120" s="43" t="s">
        <v>201</v>
      </c>
      <c r="D120" s="45" t="s">
        <v>39</v>
      </c>
      <c r="E120" s="44">
        <v>3.7080000000000002</v>
      </c>
      <c r="F120" s="48">
        <v>770156</v>
      </c>
      <c r="G120" s="46">
        <f t="shared" si="5"/>
        <v>2855738.4480000003</v>
      </c>
    </row>
    <row r="121" spans="1:7" s="40" customFormat="1" ht="14.25" customHeight="1" x14ac:dyDescent="0.2">
      <c r="A121" s="47" t="s">
        <v>202</v>
      </c>
      <c r="B121" s="185" t="s">
        <v>55</v>
      </c>
      <c r="C121" s="43" t="s">
        <v>203</v>
      </c>
      <c r="D121" s="45" t="s">
        <v>39</v>
      </c>
      <c r="E121" s="44">
        <v>2.8079999999999998</v>
      </c>
      <c r="F121" s="48">
        <v>770156</v>
      </c>
      <c r="G121" s="46">
        <f t="shared" si="5"/>
        <v>2162598.048</v>
      </c>
    </row>
    <row r="122" spans="1:7" s="40" customFormat="1" ht="14.25" customHeight="1" x14ac:dyDescent="0.2">
      <c r="A122" s="47" t="s">
        <v>204</v>
      </c>
      <c r="B122" s="185" t="s">
        <v>58</v>
      </c>
      <c r="C122" s="43" t="s">
        <v>205</v>
      </c>
      <c r="D122" s="45" t="s">
        <v>22</v>
      </c>
      <c r="E122" s="44">
        <v>70</v>
      </c>
      <c r="F122" s="48">
        <v>38417</v>
      </c>
      <c r="G122" s="46">
        <f t="shared" si="5"/>
        <v>2689190</v>
      </c>
    </row>
    <row r="123" spans="1:7" s="59" customFormat="1" ht="14.25" customHeight="1" x14ac:dyDescent="0.2">
      <c r="A123" s="53"/>
      <c r="B123" s="180"/>
      <c r="C123" s="54"/>
      <c r="D123" s="55"/>
      <c r="E123" s="56"/>
      <c r="F123" s="57"/>
      <c r="G123" s="58"/>
    </row>
    <row r="124" spans="1:7" s="40" customFormat="1" ht="14.25" customHeight="1" x14ac:dyDescent="0.2">
      <c r="A124" s="52">
        <v>4.4000000000000004</v>
      </c>
      <c r="B124" s="185"/>
      <c r="C124" s="42" t="s">
        <v>60</v>
      </c>
      <c r="D124" s="45"/>
      <c r="E124" s="44"/>
      <c r="F124" s="48"/>
      <c r="G124" s="46"/>
    </row>
    <row r="125" spans="1:7" s="40" customFormat="1" ht="12.75" x14ac:dyDescent="0.2">
      <c r="A125" s="47" t="s">
        <v>206</v>
      </c>
      <c r="B125" s="185" t="s">
        <v>62</v>
      </c>
      <c r="C125" s="43" t="s">
        <v>63</v>
      </c>
      <c r="D125" s="45" t="s">
        <v>64</v>
      </c>
      <c r="E125" s="44">
        <v>26505.267326183173</v>
      </c>
      <c r="F125" s="48">
        <v>4259</v>
      </c>
      <c r="G125" s="46">
        <f>+E125*F125</f>
        <v>112885933.54221414</v>
      </c>
    </row>
    <row r="126" spans="1:7" s="40" customFormat="1" ht="14.25" customHeight="1" x14ac:dyDescent="0.2">
      <c r="A126" s="47"/>
      <c r="B126" s="185"/>
      <c r="C126" s="43"/>
      <c r="D126" s="45"/>
      <c r="E126" s="44"/>
      <c r="F126" s="48"/>
      <c r="G126" s="46"/>
    </row>
    <row r="127" spans="1:7" s="40" customFormat="1" ht="14.25" customHeight="1" x14ac:dyDescent="0.2">
      <c r="A127" s="52">
        <v>4.5</v>
      </c>
      <c r="B127" s="182"/>
      <c r="C127" s="219" t="s">
        <v>207</v>
      </c>
      <c r="D127" s="220"/>
      <c r="E127" s="220"/>
      <c r="F127" s="220"/>
      <c r="G127" s="255"/>
    </row>
    <row r="128" spans="1:7" s="40" customFormat="1" ht="12.75" x14ac:dyDescent="0.2">
      <c r="A128" s="47" t="s">
        <v>208</v>
      </c>
      <c r="B128" s="185" t="s">
        <v>67</v>
      </c>
      <c r="C128" s="43" t="s">
        <v>68</v>
      </c>
      <c r="D128" s="45" t="s">
        <v>26</v>
      </c>
      <c r="E128" s="44">
        <v>2</v>
      </c>
      <c r="F128" s="48">
        <v>1065257</v>
      </c>
      <c r="G128" s="83">
        <f>+E128*F128</f>
        <v>2130514</v>
      </c>
    </row>
    <row r="129" spans="1:7" s="40" customFormat="1" ht="12.75" x14ac:dyDescent="0.2">
      <c r="A129" s="47" t="s">
        <v>209</v>
      </c>
      <c r="B129" s="182" t="s">
        <v>210</v>
      </c>
      <c r="C129" s="84" t="s">
        <v>211</v>
      </c>
      <c r="D129" s="45" t="s">
        <v>26</v>
      </c>
      <c r="E129" s="71">
        <v>2</v>
      </c>
      <c r="F129" s="48">
        <v>582248</v>
      </c>
      <c r="G129" s="83">
        <f>+E129*F129</f>
        <v>1164496</v>
      </c>
    </row>
    <row r="130" spans="1:7" s="40" customFormat="1" ht="14.25" customHeight="1" x14ac:dyDescent="0.2">
      <c r="A130" s="47"/>
      <c r="B130" s="182"/>
      <c r="C130" s="84"/>
      <c r="D130" s="85"/>
      <c r="E130" s="71"/>
      <c r="F130" s="86"/>
      <c r="G130" s="83"/>
    </row>
    <row r="131" spans="1:7" s="40" customFormat="1" ht="14.25" customHeight="1" x14ac:dyDescent="0.2">
      <c r="A131" s="88">
        <v>4.5999999999999996</v>
      </c>
      <c r="B131" s="187"/>
      <c r="C131" s="256" t="s">
        <v>212</v>
      </c>
      <c r="D131" s="256"/>
      <c r="E131" s="256"/>
      <c r="F131" s="256"/>
      <c r="G131" s="256"/>
    </row>
    <row r="132" spans="1:7" s="40" customFormat="1" ht="20.25" customHeight="1" x14ac:dyDescent="0.2">
      <c r="A132" s="88" t="s">
        <v>213</v>
      </c>
      <c r="B132" s="187"/>
      <c r="C132" s="110" t="s">
        <v>214</v>
      </c>
      <c r="D132" s="110"/>
      <c r="E132" s="110"/>
      <c r="F132" s="110"/>
      <c r="G132" s="110"/>
    </row>
    <row r="133" spans="1:7" s="40" customFormat="1" ht="14.25" customHeight="1" x14ac:dyDescent="0.2">
      <c r="A133" s="62" t="s">
        <v>215</v>
      </c>
      <c r="B133" s="187" t="s">
        <v>216</v>
      </c>
      <c r="C133" s="204" t="s">
        <v>217</v>
      </c>
      <c r="D133" s="45" t="s">
        <v>26</v>
      </c>
      <c r="E133" s="44">
        <v>4</v>
      </c>
      <c r="F133" s="48">
        <v>28175</v>
      </c>
      <c r="G133" s="49">
        <f>+E133*F133</f>
        <v>112700</v>
      </c>
    </row>
    <row r="134" spans="1:7" s="40" customFormat="1" ht="14.25" customHeight="1" x14ac:dyDescent="0.2">
      <c r="A134" s="62" t="s">
        <v>218</v>
      </c>
      <c r="B134" s="187" t="s">
        <v>219</v>
      </c>
      <c r="C134" s="204" t="s">
        <v>220</v>
      </c>
      <c r="D134" s="45" t="s">
        <v>22</v>
      </c>
      <c r="E134" s="44">
        <v>5.46</v>
      </c>
      <c r="F134" s="48">
        <v>110113</v>
      </c>
      <c r="G134" s="49">
        <f>+E134*F134</f>
        <v>601216.98</v>
      </c>
    </row>
    <row r="135" spans="1:7" s="40" customFormat="1" ht="14.25" customHeight="1" thickBot="1" x14ac:dyDescent="0.25">
      <c r="A135" s="210" t="s">
        <v>30</v>
      </c>
      <c r="B135" s="211"/>
      <c r="C135" s="211"/>
      <c r="D135" s="211"/>
      <c r="E135" s="211"/>
      <c r="F135" s="212"/>
      <c r="G135" s="87">
        <f>SUM(G105:G134)</f>
        <v>413791473.7631048</v>
      </c>
    </row>
    <row r="136" spans="1:7" s="40" customFormat="1" ht="14.25" customHeight="1" x14ac:dyDescent="0.2">
      <c r="A136" s="257" t="s">
        <v>221</v>
      </c>
      <c r="B136" s="257"/>
      <c r="C136" s="257"/>
      <c r="D136" s="257"/>
      <c r="E136" s="257"/>
      <c r="F136" s="257"/>
      <c r="G136" s="257"/>
    </row>
    <row r="137" spans="1:7" s="40" customFormat="1" ht="14.25" customHeight="1" x14ac:dyDescent="0.2">
      <c r="A137" s="52">
        <v>5.0999999999999996</v>
      </c>
      <c r="B137" s="185"/>
      <c r="C137" s="42" t="s">
        <v>184</v>
      </c>
      <c r="D137" s="45"/>
      <c r="E137" s="44"/>
      <c r="F137" s="48"/>
      <c r="G137" s="46"/>
    </row>
    <row r="138" spans="1:7" s="40" customFormat="1" ht="14.25" customHeight="1" x14ac:dyDescent="0.2">
      <c r="A138" s="47" t="s">
        <v>222</v>
      </c>
      <c r="B138" s="185" t="s">
        <v>34</v>
      </c>
      <c r="C138" s="43" t="s">
        <v>35</v>
      </c>
      <c r="D138" s="45" t="s">
        <v>18</v>
      </c>
      <c r="E138" s="44">
        <v>721.79</v>
      </c>
      <c r="F138" s="48">
        <v>5498</v>
      </c>
      <c r="G138" s="46">
        <f>+E138*F138</f>
        <v>3968401.42</v>
      </c>
    </row>
    <row r="139" spans="1:7" s="40" customFormat="1" ht="12.75" x14ac:dyDescent="0.2">
      <c r="A139" s="47" t="s">
        <v>223</v>
      </c>
      <c r="B139" s="185" t="s">
        <v>37</v>
      </c>
      <c r="C139" s="43" t="s">
        <v>90</v>
      </c>
      <c r="D139" s="45" t="s">
        <v>39</v>
      </c>
      <c r="E139" s="44">
        <v>712.58</v>
      </c>
      <c r="F139" s="48">
        <v>20317</v>
      </c>
      <c r="G139" s="46">
        <f>+E139*F139</f>
        <v>14477487.860000001</v>
      </c>
    </row>
    <row r="140" spans="1:7" s="40" customFormat="1" ht="12.75" x14ac:dyDescent="0.2">
      <c r="A140" s="47" t="s">
        <v>224</v>
      </c>
      <c r="B140" s="185" t="s">
        <v>225</v>
      </c>
      <c r="C140" s="43" t="s">
        <v>226</v>
      </c>
      <c r="D140" s="45" t="s">
        <v>39</v>
      </c>
      <c r="E140" s="44">
        <v>237.52530000000004</v>
      </c>
      <c r="F140" s="48">
        <v>26442</v>
      </c>
      <c r="G140" s="46">
        <f>+E140*F140</f>
        <v>6280643.9826000016</v>
      </c>
    </row>
    <row r="141" spans="1:7" s="40" customFormat="1" ht="14.25" customHeight="1" x14ac:dyDescent="0.2">
      <c r="A141" s="47"/>
      <c r="B141" s="185"/>
      <c r="C141" s="43"/>
      <c r="D141" s="45"/>
      <c r="E141" s="44"/>
      <c r="F141" s="48"/>
      <c r="G141" s="46"/>
    </row>
    <row r="142" spans="1:7" s="40" customFormat="1" ht="14.25" customHeight="1" x14ac:dyDescent="0.2">
      <c r="A142" s="52">
        <v>5.2</v>
      </c>
      <c r="B142" s="185"/>
      <c r="C142" s="42" t="s">
        <v>91</v>
      </c>
      <c r="D142" s="45"/>
      <c r="E142" s="44"/>
      <c r="F142" s="48"/>
      <c r="G142" s="46"/>
    </row>
    <row r="143" spans="1:7" s="40" customFormat="1" ht="28.5" customHeight="1" x14ac:dyDescent="0.2">
      <c r="A143" s="47" t="s">
        <v>227</v>
      </c>
      <c r="B143" s="185" t="s">
        <v>93</v>
      </c>
      <c r="C143" s="43" t="s">
        <v>94</v>
      </c>
      <c r="D143" s="45" t="s">
        <v>39</v>
      </c>
      <c r="E143" s="44">
        <v>338.49200000000008</v>
      </c>
      <c r="F143" s="48">
        <v>82535.09</v>
      </c>
      <c r="G143" s="46">
        <f>E143*F143</f>
        <v>27937467.684280004</v>
      </c>
    </row>
    <row r="144" spans="1:7" s="40" customFormat="1" ht="14.25" customHeight="1" x14ac:dyDescent="0.2">
      <c r="A144" s="47" t="s">
        <v>228</v>
      </c>
      <c r="B144" s="185" t="s">
        <v>188</v>
      </c>
      <c r="C144" s="193" t="s">
        <v>189</v>
      </c>
      <c r="D144" s="45" t="s">
        <v>39</v>
      </c>
      <c r="E144" s="44">
        <v>323.11</v>
      </c>
      <c r="F144" s="48">
        <v>64314</v>
      </c>
      <c r="G144" s="46">
        <f>E144*F144</f>
        <v>20780496.539999999</v>
      </c>
    </row>
    <row r="145" spans="1:7" s="40" customFormat="1" ht="14.25" customHeight="1" x14ac:dyDescent="0.2">
      <c r="A145" s="47" t="s">
        <v>229</v>
      </c>
      <c r="B145" s="185" t="s">
        <v>191</v>
      </c>
      <c r="C145" s="43" t="s">
        <v>192</v>
      </c>
      <c r="D145" s="45" t="s">
        <v>26</v>
      </c>
      <c r="E145" s="116">
        <v>110</v>
      </c>
      <c r="F145" s="48">
        <v>120200</v>
      </c>
      <c r="G145" s="46">
        <f>E145*F145</f>
        <v>13222000</v>
      </c>
    </row>
    <row r="146" spans="1:7" s="40" customFormat="1" ht="14.25" customHeight="1" x14ac:dyDescent="0.2">
      <c r="A146" s="52"/>
      <c r="B146" s="185"/>
      <c r="C146" s="42"/>
      <c r="D146" s="45"/>
      <c r="E146" s="44"/>
      <c r="F146" s="48"/>
      <c r="G146" s="46"/>
    </row>
    <row r="147" spans="1:7" s="40" customFormat="1" ht="14.25" customHeight="1" x14ac:dyDescent="0.2">
      <c r="A147" s="52">
        <v>5.3</v>
      </c>
      <c r="B147" s="185"/>
      <c r="C147" s="42" t="s">
        <v>47</v>
      </c>
      <c r="D147" s="45"/>
      <c r="E147" s="44"/>
      <c r="F147" s="48"/>
      <c r="G147" s="46"/>
    </row>
    <row r="148" spans="1:7" s="40" customFormat="1" ht="14.25" customHeight="1" x14ac:dyDescent="0.2">
      <c r="A148" s="47" t="s">
        <v>230</v>
      </c>
      <c r="B148" s="185" t="s">
        <v>49</v>
      </c>
      <c r="C148" s="43" t="s">
        <v>50</v>
      </c>
      <c r="D148" s="45" t="s">
        <v>39</v>
      </c>
      <c r="E148" s="44">
        <v>24.144530000000007</v>
      </c>
      <c r="F148" s="48">
        <v>291746</v>
      </c>
      <c r="G148" s="46">
        <f>+E148*F148</f>
        <v>7044070.0493800016</v>
      </c>
    </row>
    <row r="149" spans="1:7" s="40" customFormat="1" ht="14.25" customHeight="1" x14ac:dyDescent="0.2">
      <c r="A149" s="47" t="s">
        <v>231</v>
      </c>
      <c r="B149" s="185" t="s">
        <v>52</v>
      </c>
      <c r="C149" s="43" t="s">
        <v>195</v>
      </c>
      <c r="D149" s="45" t="s">
        <v>39</v>
      </c>
      <c r="E149" s="44">
        <v>89.774124396750352</v>
      </c>
      <c r="F149" s="48">
        <v>739963</v>
      </c>
      <c r="G149" s="46">
        <f>+E149*F149</f>
        <v>66429530.410992578</v>
      </c>
    </row>
    <row r="150" spans="1:7" s="40" customFormat="1" ht="14.25" customHeight="1" x14ac:dyDescent="0.2">
      <c r="A150" s="47" t="s">
        <v>232</v>
      </c>
      <c r="B150" s="185" t="s">
        <v>55</v>
      </c>
      <c r="C150" s="43" t="s">
        <v>197</v>
      </c>
      <c r="D150" s="45" t="s">
        <v>39</v>
      </c>
      <c r="E150" s="44">
        <v>93.870346585633527</v>
      </c>
      <c r="F150" s="48">
        <v>770156</v>
      </c>
      <c r="G150" s="46">
        <f>+E150*F150</f>
        <v>72294810.645005181</v>
      </c>
    </row>
    <row r="151" spans="1:7" s="40" customFormat="1" ht="14.25" customHeight="1" x14ac:dyDescent="0.2">
      <c r="A151" s="47" t="s">
        <v>233</v>
      </c>
      <c r="B151" s="185" t="s">
        <v>58</v>
      </c>
      <c r="C151" s="43" t="s">
        <v>205</v>
      </c>
      <c r="D151" s="45" t="s">
        <v>22</v>
      </c>
      <c r="E151" s="44">
        <v>81</v>
      </c>
      <c r="F151" s="48">
        <v>38417</v>
      </c>
      <c r="G151" s="46">
        <f>+E151*F151</f>
        <v>3111777</v>
      </c>
    </row>
    <row r="152" spans="1:7" s="40" customFormat="1" ht="14.25" customHeight="1" x14ac:dyDescent="0.2">
      <c r="A152" s="47"/>
      <c r="B152" s="185"/>
      <c r="C152" s="43"/>
      <c r="D152" s="45"/>
      <c r="E152" s="44"/>
      <c r="F152" s="48"/>
      <c r="G152" s="46"/>
    </row>
    <row r="153" spans="1:7" s="40" customFormat="1" ht="14.25" customHeight="1" x14ac:dyDescent="0.2">
      <c r="A153" s="52">
        <v>5.4</v>
      </c>
      <c r="B153" s="185"/>
      <c r="C153" s="42" t="s">
        <v>60</v>
      </c>
      <c r="D153" s="45"/>
      <c r="E153" s="44"/>
      <c r="F153" s="48"/>
      <c r="G153" s="46"/>
    </row>
    <row r="154" spans="1:7" s="40" customFormat="1" ht="12.75" x14ac:dyDescent="0.2">
      <c r="A154" s="47" t="s">
        <v>234</v>
      </c>
      <c r="B154" s="185" t="s">
        <v>62</v>
      </c>
      <c r="C154" s="43" t="s">
        <v>63</v>
      </c>
      <c r="D154" s="45" t="s">
        <v>64</v>
      </c>
      <c r="E154" s="44">
        <v>15870</v>
      </c>
      <c r="F154" s="48">
        <v>4259</v>
      </c>
      <c r="G154" s="46">
        <f>+E154*F154</f>
        <v>67590330</v>
      </c>
    </row>
    <row r="155" spans="1:7" s="40" customFormat="1" ht="14.25" customHeight="1" x14ac:dyDescent="0.2">
      <c r="A155" s="47"/>
      <c r="B155" s="185"/>
      <c r="C155" s="43"/>
      <c r="D155" s="45"/>
      <c r="E155" s="44"/>
      <c r="F155" s="48"/>
      <c r="G155" s="46"/>
    </row>
    <row r="156" spans="1:7" s="40" customFormat="1" ht="14.25" customHeight="1" x14ac:dyDescent="0.2">
      <c r="A156" s="52">
        <v>5.5</v>
      </c>
      <c r="B156" s="182"/>
      <c r="C156" s="219" t="s">
        <v>207</v>
      </c>
      <c r="D156" s="220"/>
      <c r="E156" s="220"/>
      <c r="F156" s="220"/>
      <c r="G156" s="255"/>
    </row>
    <row r="157" spans="1:7" s="40" customFormat="1" ht="14.25" customHeight="1" x14ac:dyDescent="0.2">
      <c r="A157" s="62" t="s">
        <v>235</v>
      </c>
      <c r="B157" s="187" t="s">
        <v>236</v>
      </c>
      <c r="C157" s="43" t="s">
        <v>237</v>
      </c>
      <c r="D157" s="45" t="s">
        <v>26</v>
      </c>
      <c r="E157" s="44">
        <v>2</v>
      </c>
      <c r="F157" s="48">
        <v>291624</v>
      </c>
      <c r="G157" s="49">
        <f>+E157*F157</f>
        <v>583248</v>
      </c>
    </row>
    <row r="158" spans="1:7" s="40" customFormat="1" ht="14.25" customHeight="1" x14ac:dyDescent="0.2">
      <c r="A158" s="62" t="s">
        <v>238</v>
      </c>
      <c r="B158" s="187" t="s">
        <v>239</v>
      </c>
      <c r="C158" s="43" t="s">
        <v>240</v>
      </c>
      <c r="D158" s="45" t="s">
        <v>26</v>
      </c>
      <c r="E158" s="44">
        <v>2</v>
      </c>
      <c r="F158" s="48">
        <v>120200</v>
      </c>
      <c r="G158" s="49">
        <f>+E158*F158</f>
        <v>240400</v>
      </c>
    </row>
    <row r="159" spans="1:7" s="40" customFormat="1" ht="14.25" customHeight="1" x14ac:dyDescent="0.2">
      <c r="A159" s="47"/>
      <c r="B159" s="182"/>
      <c r="C159" s="84"/>
      <c r="D159" s="85"/>
      <c r="E159" s="71"/>
      <c r="F159" s="86"/>
      <c r="G159" s="83"/>
    </row>
    <row r="160" spans="1:7" s="40" customFormat="1" ht="14.25" customHeight="1" x14ac:dyDescent="0.2">
      <c r="A160" s="88">
        <v>5.6</v>
      </c>
      <c r="B160" s="189"/>
      <c r="C160" s="219" t="s">
        <v>241</v>
      </c>
      <c r="D160" s="220"/>
      <c r="E160" s="220"/>
      <c r="F160" s="220"/>
      <c r="G160" s="255"/>
    </row>
    <row r="161" spans="1:7" s="40" customFormat="1" ht="14.25" customHeight="1" x14ac:dyDescent="0.2">
      <c r="A161" s="88" t="s">
        <v>242</v>
      </c>
      <c r="B161" s="189"/>
      <c r="C161" s="166" t="s">
        <v>243</v>
      </c>
      <c r="D161" s="165"/>
      <c r="E161" s="165"/>
      <c r="F161" s="165"/>
      <c r="G161" s="165"/>
    </row>
    <row r="162" spans="1:7" s="40" customFormat="1" ht="14.25" customHeight="1" x14ac:dyDescent="0.2">
      <c r="A162" s="88" t="s">
        <v>244</v>
      </c>
      <c r="B162" s="189" t="s">
        <v>85</v>
      </c>
      <c r="C162" s="43" t="s">
        <v>245</v>
      </c>
      <c r="D162" s="45" t="s">
        <v>22</v>
      </c>
      <c r="E162" s="70">
        <f>18.55+5.63</f>
        <v>24.18</v>
      </c>
      <c r="F162" s="48">
        <v>52765</v>
      </c>
      <c r="G162" s="49">
        <f>+E162*F162</f>
        <v>1275857.7</v>
      </c>
    </row>
    <row r="163" spans="1:7" s="40" customFormat="1" ht="14.25" customHeight="1" x14ac:dyDescent="0.2">
      <c r="A163" s="88"/>
      <c r="B163" s="189"/>
      <c r="C163" s="84"/>
      <c r="D163" s="85"/>
      <c r="E163" s="71"/>
      <c r="F163" s="48"/>
      <c r="G163" s="49"/>
    </row>
    <row r="164" spans="1:7" s="40" customFormat="1" ht="14.25" customHeight="1" x14ac:dyDescent="0.2">
      <c r="A164" s="88" t="s">
        <v>246</v>
      </c>
      <c r="B164" s="189"/>
      <c r="C164" s="166" t="s">
        <v>247</v>
      </c>
      <c r="D164" s="165"/>
      <c r="E164" s="165"/>
      <c r="F164" s="110"/>
      <c r="G164" s="49"/>
    </row>
    <row r="165" spans="1:7" s="40" customFormat="1" ht="14.25" customHeight="1" x14ac:dyDescent="0.2">
      <c r="A165" s="88" t="s">
        <v>248</v>
      </c>
      <c r="B165" s="189" t="s">
        <v>249</v>
      </c>
      <c r="C165" s="204" t="s">
        <v>250</v>
      </c>
      <c r="D165" s="45" t="s">
        <v>22</v>
      </c>
      <c r="E165" s="70">
        <v>130.32</v>
      </c>
      <c r="F165" s="48">
        <v>44871</v>
      </c>
      <c r="G165" s="49">
        <f t="shared" ref="G165:G170" si="6">+E165*F165</f>
        <v>5847588.7199999997</v>
      </c>
    </row>
    <row r="166" spans="1:7" s="40" customFormat="1" ht="14.25" customHeight="1" x14ac:dyDescent="0.2">
      <c r="A166" s="88" t="s">
        <v>251</v>
      </c>
      <c r="B166" s="189" t="s">
        <v>252</v>
      </c>
      <c r="C166" s="204" t="s">
        <v>253</v>
      </c>
      <c r="D166" s="45" t="s">
        <v>26</v>
      </c>
      <c r="E166" s="44">
        <v>5</v>
      </c>
      <c r="F166" s="48">
        <v>134851</v>
      </c>
      <c r="G166" s="49">
        <f t="shared" si="6"/>
        <v>674255</v>
      </c>
    </row>
    <row r="167" spans="1:7" s="40" customFormat="1" ht="14.25" customHeight="1" x14ac:dyDescent="0.2">
      <c r="A167" s="88" t="s">
        <v>254</v>
      </c>
      <c r="B167" s="189" t="s">
        <v>255</v>
      </c>
      <c r="C167" s="204" t="s">
        <v>256</v>
      </c>
      <c r="D167" s="45" t="s">
        <v>26</v>
      </c>
      <c r="E167" s="44">
        <v>2</v>
      </c>
      <c r="F167" s="48">
        <v>17701</v>
      </c>
      <c r="G167" s="49">
        <f t="shared" si="6"/>
        <v>35402</v>
      </c>
    </row>
    <row r="168" spans="1:7" s="40" customFormat="1" ht="14.25" customHeight="1" x14ac:dyDescent="0.2">
      <c r="A168" s="88" t="s">
        <v>257</v>
      </c>
      <c r="B168" s="189" t="s">
        <v>258</v>
      </c>
      <c r="C168" s="204" t="s">
        <v>259</v>
      </c>
      <c r="D168" s="45" t="s">
        <v>26</v>
      </c>
      <c r="E168" s="44">
        <v>4</v>
      </c>
      <c r="F168" s="48">
        <v>121569</v>
      </c>
      <c r="G168" s="49">
        <f t="shared" si="6"/>
        <v>486276</v>
      </c>
    </row>
    <row r="169" spans="1:7" s="40" customFormat="1" ht="14.25" customHeight="1" x14ac:dyDescent="0.2">
      <c r="A169" s="88" t="s">
        <v>260</v>
      </c>
      <c r="B169" s="189" t="s">
        <v>261</v>
      </c>
      <c r="C169" s="204" t="s">
        <v>262</v>
      </c>
      <c r="D169" s="45" t="s">
        <v>26</v>
      </c>
      <c r="E169" s="44">
        <v>2</v>
      </c>
      <c r="F169" s="48">
        <v>288567</v>
      </c>
      <c r="G169" s="49">
        <f t="shared" si="6"/>
        <v>577134</v>
      </c>
    </row>
    <row r="170" spans="1:7" s="40" customFormat="1" ht="14.25" customHeight="1" x14ac:dyDescent="0.2">
      <c r="A170" s="88" t="s">
        <v>263</v>
      </c>
      <c r="B170" s="189" t="s">
        <v>264</v>
      </c>
      <c r="C170" s="204" t="s">
        <v>265</v>
      </c>
      <c r="D170" s="45" t="s">
        <v>26</v>
      </c>
      <c r="E170" s="44">
        <v>2</v>
      </c>
      <c r="F170" s="48">
        <v>21858</v>
      </c>
      <c r="G170" s="49">
        <f t="shared" si="6"/>
        <v>43716</v>
      </c>
    </row>
    <row r="171" spans="1:7" s="40" customFormat="1" ht="14.25" customHeight="1" thickBot="1" x14ac:dyDescent="0.25">
      <c r="A171" s="210" t="s">
        <v>30</v>
      </c>
      <c r="B171" s="211"/>
      <c r="C171" s="211"/>
      <c r="D171" s="211"/>
      <c r="E171" s="211"/>
      <c r="F171" s="212"/>
      <c r="G171" s="87">
        <f>SUM(G137:G170)</f>
        <v>312900893.01225775</v>
      </c>
    </row>
    <row r="172" spans="1:7" s="40" customFormat="1" ht="14.25" customHeight="1" x14ac:dyDescent="0.2">
      <c r="A172" s="257" t="s">
        <v>266</v>
      </c>
      <c r="B172" s="257"/>
      <c r="C172" s="257"/>
      <c r="D172" s="257"/>
      <c r="E172" s="257"/>
      <c r="F172" s="257"/>
      <c r="G172" s="257"/>
    </row>
    <row r="173" spans="1:7" s="40" customFormat="1" ht="14.25" customHeight="1" x14ac:dyDescent="0.2">
      <c r="A173" s="47"/>
      <c r="B173" s="185"/>
      <c r="C173" s="43"/>
      <c r="D173" s="45"/>
      <c r="E173" s="44"/>
      <c r="F173" s="48"/>
      <c r="G173" s="46"/>
    </row>
    <row r="174" spans="1:7" s="40" customFormat="1" ht="14.25" customHeight="1" x14ac:dyDescent="0.2">
      <c r="A174" s="52">
        <v>6.1</v>
      </c>
      <c r="B174" s="185"/>
      <c r="C174" s="42" t="s">
        <v>184</v>
      </c>
      <c r="D174" s="45"/>
      <c r="E174" s="44"/>
      <c r="F174" s="48"/>
      <c r="G174" s="46"/>
    </row>
    <row r="175" spans="1:7" s="40" customFormat="1" ht="14.25" customHeight="1" x14ac:dyDescent="0.2">
      <c r="A175" s="47" t="s">
        <v>267</v>
      </c>
      <c r="B175" s="185" t="s">
        <v>34</v>
      </c>
      <c r="C175" s="43" t="s">
        <v>35</v>
      </c>
      <c r="D175" s="45" t="s">
        <v>18</v>
      </c>
      <c r="E175" s="44">
        <v>23</v>
      </c>
      <c r="F175" s="48">
        <v>5498</v>
      </c>
      <c r="G175" s="46">
        <f>+E175*F175</f>
        <v>126454</v>
      </c>
    </row>
    <row r="176" spans="1:7" s="40" customFormat="1" ht="12.75" x14ac:dyDescent="0.2">
      <c r="A176" s="47" t="s">
        <v>268</v>
      </c>
      <c r="B176" s="185" t="s">
        <v>37</v>
      </c>
      <c r="C176" s="43" t="s">
        <v>90</v>
      </c>
      <c r="D176" s="45" t="s">
        <v>39</v>
      </c>
      <c r="E176" s="44">
        <v>27.72</v>
      </c>
      <c r="F176" s="48">
        <v>20317</v>
      </c>
      <c r="G176" s="46">
        <f>+E176*F176</f>
        <v>563187.24</v>
      </c>
    </row>
    <row r="177" spans="1:7" s="40" customFormat="1" ht="12.75" x14ac:dyDescent="0.2">
      <c r="A177" s="47" t="s">
        <v>269</v>
      </c>
      <c r="B177" s="185" t="s">
        <v>225</v>
      </c>
      <c r="C177" s="43" t="s">
        <v>226</v>
      </c>
      <c r="D177" s="45" t="s">
        <v>39</v>
      </c>
      <c r="E177" s="44">
        <v>13.86</v>
      </c>
      <c r="F177" s="48">
        <v>26442</v>
      </c>
      <c r="G177" s="46">
        <f>+E177*F177</f>
        <v>366486.12</v>
      </c>
    </row>
    <row r="178" spans="1:7" s="40" customFormat="1" ht="14.25" customHeight="1" x14ac:dyDescent="0.2">
      <c r="A178" s="47"/>
      <c r="B178" s="185"/>
      <c r="C178" s="43"/>
      <c r="D178" s="45"/>
      <c r="E178" s="44"/>
      <c r="F178" s="48"/>
      <c r="G178" s="46"/>
    </row>
    <row r="179" spans="1:7" s="40" customFormat="1" ht="14.25" customHeight="1" x14ac:dyDescent="0.2">
      <c r="A179" s="52">
        <v>6.2</v>
      </c>
      <c r="B179" s="185"/>
      <c r="C179" s="42" t="s">
        <v>91</v>
      </c>
      <c r="D179" s="45"/>
      <c r="E179" s="44"/>
      <c r="F179" s="48"/>
      <c r="G179" s="46"/>
    </row>
    <row r="180" spans="1:7" s="40" customFormat="1" ht="25.5" x14ac:dyDescent="0.2">
      <c r="A180" s="47" t="s">
        <v>270</v>
      </c>
      <c r="B180" s="185" t="s">
        <v>93</v>
      </c>
      <c r="C180" s="43" t="s">
        <v>94</v>
      </c>
      <c r="D180" s="45" t="s">
        <v>39</v>
      </c>
      <c r="E180" s="44">
        <v>428.13750000000005</v>
      </c>
      <c r="F180" s="48">
        <v>82535.09</v>
      </c>
      <c r="G180" s="46">
        <f>+E180*F180</f>
        <v>35336367.094875</v>
      </c>
    </row>
    <row r="181" spans="1:7" s="40" customFormat="1" ht="14.25" customHeight="1" x14ac:dyDescent="0.2">
      <c r="A181" s="47" t="s">
        <v>271</v>
      </c>
      <c r="B181" s="185" t="s">
        <v>96</v>
      </c>
      <c r="C181" s="43" t="s">
        <v>97</v>
      </c>
      <c r="D181" s="45" t="s">
        <v>18</v>
      </c>
      <c r="E181" s="44">
        <v>263.62</v>
      </c>
      <c r="F181" s="48">
        <v>34575</v>
      </c>
      <c r="G181" s="46">
        <f>+E181*F181</f>
        <v>9114661.5</v>
      </c>
    </row>
    <row r="182" spans="1:7" s="59" customFormat="1" ht="14.25" customHeight="1" x14ac:dyDescent="0.2">
      <c r="A182" s="53"/>
      <c r="B182" s="180"/>
      <c r="C182" s="54"/>
      <c r="D182" s="55"/>
      <c r="E182" s="44"/>
      <c r="F182" s="57"/>
      <c r="G182" s="58"/>
    </row>
    <row r="183" spans="1:7" s="40" customFormat="1" ht="14.25" customHeight="1" x14ac:dyDescent="0.2">
      <c r="A183" s="52">
        <v>6.3</v>
      </c>
      <c r="B183" s="185"/>
      <c r="C183" s="42" t="s">
        <v>47</v>
      </c>
      <c r="D183" s="45"/>
      <c r="E183" s="44"/>
      <c r="F183" s="48"/>
      <c r="G183" s="46"/>
    </row>
    <row r="184" spans="1:7" s="40" customFormat="1" ht="14.25" customHeight="1" x14ac:dyDescent="0.2">
      <c r="A184" s="47" t="s">
        <v>272</v>
      </c>
      <c r="B184" s="185" t="s">
        <v>49</v>
      </c>
      <c r="C184" s="43" t="s">
        <v>50</v>
      </c>
      <c r="D184" s="45" t="s">
        <v>39</v>
      </c>
      <c r="E184" s="44">
        <v>0.90200000000000002</v>
      </c>
      <c r="F184" s="48">
        <v>291746</v>
      </c>
      <c r="G184" s="46">
        <f>+E184*F184</f>
        <v>263154.89199999999</v>
      </c>
    </row>
    <row r="185" spans="1:7" s="40" customFormat="1" ht="14.25" customHeight="1" x14ac:dyDescent="0.2">
      <c r="A185" s="47" t="s">
        <v>273</v>
      </c>
      <c r="B185" s="185" t="s">
        <v>52</v>
      </c>
      <c r="C185" s="43" t="s">
        <v>195</v>
      </c>
      <c r="D185" s="45" t="s">
        <v>39</v>
      </c>
      <c r="E185" s="44">
        <v>2.2549999999999999</v>
      </c>
      <c r="F185" s="48">
        <v>739963</v>
      </c>
      <c r="G185" s="46">
        <f>+E185*F185</f>
        <v>1668616.5649999999</v>
      </c>
    </row>
    <row r="186" spans="1:7" s="40" customFormat="1" ht="14.25" customHeight="1" x14ac:dyDescent="0.2">
      <c r="A186" s="47" t="s">
        <v>274</v>
      </c>
      <c r="B186" s="185" t="s">
        <v>55</v>
      </c>
      <c r="C186" s="43" t="s">
        <v>197</v>
      </c>
      <c r="D186" s="45" t="s">
        <v>39</v>
      </c>
      <c r="E186" s="44">
        <v>5.181</v>
      </c>
      <c r="F186" s="48">
        <v>770156</v>
      </c>
      <c r="G186" s="46">
        <f>+E186*F186</f>
        <v>3990178.236</v>
      </c>
    </row>
    <row r="187" spans="1:7" s="40" customFormat="1" ht="14.25" customHeight="1" x14ac:dyDescent="0.2">
      <c r="A187" s="47" t="s">
        <v>275</v>
      </c>
      <c r="B187" s="185" t="s">
        <v>58</v>
      </c>
      <c r="C187" s="43" t="s">
        <v>59</v>
      </c>
      <c r="D187" s="45" t="s">
        <v>39</v>
      </c>
      <c r="E187" s="44">
        <v>20</v>
      </c>
      <c r="F187" s="48">
        <v>38417</v>
      </c>
      <c r="G187" s="46">
        <f>+E187*F187</f>
        <v>768340</v>
      </c>
    </row>
    <row r="188" spans="1:7" s="40" customFormat="1" ht="14.25" customHeight="1" x14ac:dyDescent="0.2">
      <c r="A188" s="47" t="s">
        <v>276</v>
      </c>
      <c r="B188" s="185" t="s">
        <v>107</v>
      </c>
      <c r="C188" s="43" t="s">
        <v>108</v>
      </c>
      <c r="D188" s="45" t="s">
        <v>39</v>
      </c>
      <c r="E188" s="44">
        <v>0.21780000000000002</v>
      </c>
      <c r="F188" s="48">
        <v>336159</v>
      </c>
      <c r="G188" s="46">
        <f>+E188*F188</f>
        <v>73215.430200000003</v>
      </c>
    </row>
    <row r="189" spans="1:7" s="59" customFormat="1" ht="14.25" customHeight="1" x14ac:dyDescent="0.2">
      <c r="A189" s="53"/>
      <c r="B189" s="180"/>
      <c r="C189" s="54"/>
      <c r="D189" s="55"/>
      <c r="E189" s="44"/>
      <c r="F189" s="57"/>
      <c r="G189" s="58"/>
    </row>
    <row r="190" spans="1:7" s="40" customFormat="1" ht="14.25" customHeight="1" x14ac:dyDescent="0.2">
      <c r="A190" s="52">
        <v>6.4</v>
      </c>
      <c r="B190" s="185"/>
      <c r="C190" s="42" t="s">
        <v>60</v>
      </c>
      <c r="D190" s="45"/>
      <c r="E190" s="44"/>
      <c r="F190" s="48"/>
      <c r="G190" s="46"/>
    </row>
    <row r="191" spans="1:7" s="40" customFormat="1" ht="12.75" x14ac:dyDescent="0.2">
      <c r="A191" s="47" t="s">
        <v>277</v>
      </c>
      <c r="B191" s="185" t="s">
        <v>62</v>
      </c>
      <c r="C191" s="43" t="s">
        <v>63</v>
      </c>
      <c r="D191" s="45" t="s">
        <v>64</v>
      </c>
      <c r="E191" s="44">
        <v>825</v>
      </c>
      <c r="F191" s="48">
        <v>4259</v>
      </c>
      <c r="G191" s="46">
        <f>+E191*F191</f>
        <v>3513675</v>
      </c>
    </row>
    <row r="192" spans="1:7" s="59" customFormat="1" ht="14.25" customHeight="1" x14ac:dyDescent="0.2">
      <c r="A192" s="53"/>
      <c r="B192" s="180"/>
      <c r="C192" s="54"/>
      <c r="D192" s="55"/>
      <c r="E192" s="56"/>
      <c r="F192" s="57"/>
      <c r="G192" s="58"/>
    </row>
    <row r="193" spans="1:7" s="40" customFormat="1" ht="14.25" customHeight="1" x14ac:dyDescent="0.2">
      <c r="A193" s="52">
        <v>6.5</v>
      </c>
      <c r="B193" s="182"/>
      <c r="C193" s="219" t="s">
        <v>110</v>
      </c>
      <c r="D193" s="220"/>
      <c r="E193" s="220"/>
      <c r="F193" s="220"/>
      <c r="G193" s="255"/>
    </row>
    <row r="194" spans="1:7" s="40" customFormat="1" ht="24" customHeight="1" x14ac:dyDescent="0.2">
      <c r="A194" s="47" t="s">
        <v>278</v>
      </c>
      <c r="B194" s="185" t="s">
        <v>279</v>
      </c>
      <c r="C194" s="43" t="s">
        <v>280</v>
      </c>
      <c r="D194" s="45" t="s">
        <v>26</v>
      </c>
      <c r="E194" s="44">
        <v>10</v>
      </c>
      <c r="F194" s="48">
        <v>285770</v>
      </c>
      <c r="G194" s="46">
        <f>+E194*F194</f>
        <v>2857700</v>
      </c>
    </row>
    <row r="195" spans="1:7" s="40" customFormat="1" ht="14.25" customHeight="1" x14ac:dyDescent="0.2">
      <c r="A195" s="47" t="s">
        <v>281</v>
      </c>
      <c r="B195" s="185" t="s">
        <v>130</v>
      </c>
      <c r="C195" s="43" t="s">
        <v>131</v>
      </c>
      <c r="D195" s="45" t="s">
        <v>26</v>
      </c>
      <c r="E195" s="44">
        <v>1</v>
      </c>
      <c r="F195" s="48">
        <v>538457</v>
      </c>
      <c r="G195" s="46">
        <f t="shared" ref="G195:G196" si="7">+E195*F195</f>
        <v>538457</v>
      </c>
    </row>
    <row r="196" spans="1:7" s="40" customFormat="1" ht="16.5" customHeight="1" x14ac:dyDescent="0.2">
      <c r="A196" s="47" t="s">
        <v>282</v>
      </c>
      <c r="B196" s="185" t="s">
        <v>133</v>
      </c>
      <c r="C196" s="43" t="s">
        <v>283</v>
      </c>
      <c r="D196" s="45" t="s">
        <v>26</v>
      </c>
      <c r="E196" s="44">
        <v>1</v>
      </c>
      <c r="F196" s="48">
        <v>400525</v>
      </c>
      <c r="G196" s="46">
        <f t="shared" si="7"/>
        <v>400525</v>
      </c>
    </row>
    <row r="197" spans="1:7" s="40" customFormat="1" ht="14.25" customHeight="1" x14ac:dyDescent="0.2">
      <c r="A197" s="47"/>
      <c r="B197" s="185"/>
      <c r="C197" s="43"/>
      <c r="D197" s="45"/>
      <c r="E197" s="44"/>
      <c r="F197" s="48"/>
      <c r="G197" s="46"/>
    </row>
    <row r="198" spans="1:7" s="59" customFormat="1" ht="14.25" customHeight="1" x14ac:dyDescent="0.2">
      <c r="A198" s="52">
        <v>6.6</v>
      </c>
      <c r="B198" s="182"/>
      <c r="C198" s="219" t="s">
        <v>137</v>
      </c>
      <c r="D198" s="220"/>
      <c r="E198" s="220"/>
      <c r="F198" s="220"/>
      <c r="G198" s="255"/>
    </row>
    <row r="199" spans="1:7" s="59" customFormat="1" ht="14.25" customHeight="1" x14ac:dyDescent="0.2">
      <c r="A199" s="88" t="s">
        <v>284</v>
      </c>
      <c r="B199" s="187" t="s">
        <v>285</v>
      </c>
      <c r="C199" s="43" t="s">
        <v>286</v>
      </c>
      <c r="D199" s="45" t="s">
        <v>26</v>
      </c>
      <c r="E199" s="44">
        <v>2</v>
      </c>
      <c r="F199" s="48">
        <v>134275</v>
      </c>
      <c r="G199" s="46">
        <f>+E199*F199</f>
        <v>268550</v>
      </c>
    </row>
    <row r="200" spans="1:7" s="59" customFormat="1" ht="14.25" customHeight="1" x14ac:dyDescent="0.2">
      <c r="A200" s="88" t="s">
        <v>287</v>
      </c>
      <c r="B200" s="187" t="s">
        <v>288</v>
      </c>
      <c r="C200" s="43" t="s">
        <v>289</v>
      </c>
      <c r="D200" s="45" t="s">
        <v>26</v>
      </c>
      <c r="E200" s="44">
        <v>2</v>
      </c>
      <c r="F200" s="48">
        <v>194455</v>
      </c>
      <c r="G200" s="46">
        <f t="shared" ref="G200:G203" si="8">+E200*F200</f>
        <v>388910</v>
      </c>
    </row>
    <row r="201" spans="1:7" s="59" customFormat="1" ht="14.25" customHeight="1" x14ac:dyDescent="0.2">
      <c r="A201" s="88" t="s">
        <v>290</v>
      </c>
      <c r="B201" s="187" t="s">
        <v>291</v>
      </c>
      <c r="C201" s="43" t="s">
        <v>292</v>
      </c>
      <c r="D201" s="45" t="s">
        <v>26</v>
      </c>
      <c r="E201" s="44">
        <v>2</v>
      </c>
      <c r="F201" s="48">
        <v>57800</v>
      </c>
      <c r="G201" s="46">
        <f t="shared" si="8"/>
        <v>115600</v>
      </c>
    </row>
    <row r="202" spans="1:7" s="59" customFormat="1" ht="14.25" customHeight="1" x14ac:dyDescent="0.2">
      <c r="A202" s="88" t="s">
        <v>293</v>
      </c>
      <c r="B202" s="187" t="s">
        <v>294</v>
      </c>
      <c r="C202" s="43" t="s">
        <v>295</v>
      </c>
      <c r="D202" s="45" t="s">
        <v>26</v>
      </c>
      <c r="E202" s="44">
        <v>2</v>
      </c>
      <c r="F202" s="48">
        <v>717235</v>
      </c>
      <c r="G202" s="46">
        <f t="shared" si="8"/>
        <v>1434470</v>
      </c>
    </row>
    <row r="203" spans="1:7" s="59" customFormat="1" ht="14.25" customHeight="1" x14ac:dyDescent="0.2">
      <c r="A203" s="88" t="s">
        <v>296</v>
      </c>
      <c r="B203" s="187" t="s">
        <v>297</v>
      </c>
      <c r="C203" s="43" t="s">
        <v>298</v>
      </c>
      <c r="D203" s="45" t="s">
        <v>26</v>
      </c>
      <c r="E203" s="44">
        <v>4</v>
      </c>
      <c r="F203" s="48">
        <v>570584</v>
      </c>
      <c r="G203" s="46">
        <f t="shared" si="8"/>
        <v>2282336</v>
      </c>
    </row>
    <row r="204" spans="1:7" s="59" customFormat="1" ht="12.75" x14ac:dyDescent="0.2">
      <c r="A204" s="53"/>
      <c r="B204" s="180"/>
      <c r="C204" s="54"/>
      <c r="D204" s="55"/>
      <c r="E204" s="56"/>
      <c r="F204" s="57"/>
      <c r="G204" s="58"/>
    </row>
    <row r="205" spans="1:7" s="40" customFormat="1" ht="14.25" customHeight="1" x14ac:dyDescent="0.2">
      <c r="A205" s="82">
        <v>6.7</v>
      </c>
      <c r="B205" s="185"/>
      <c r="C205" s="219" t="s">
        <v>299</v>
      </c>
      <c r="D205" s="220"/>
      <c r="E205" s="220"/>
      <c r="F205" s="221"/>
      <c r="G205" s="89"/>
    </row>
    <row r="206" spans="1:7" s="40" customFormat="1" ht="14.25" customHeight="1" x14ac:dyDescent="0.2">
      <c r="A206" s="82" t="s">
        <v>300</v>
      </c>
      <c r="B206" s="185"/>
      <c r="C206" s="166" t="s">
        <v>301</v>
      </c>
      <c r="D206" s="165"/>
      <c r="E206" s="165"/>
      <c r="F206" s="170"/>
      <c r="G206" s="60"/>
    </row>
    <row r="207" spans="1:7" s="40" customFormat="1" ht="14.25" customHeight="1" x14ac:dyDescent="0.2">
      <c r="A207" s="88" t="s">
        <v>302</v>
      </c>
      <c r="B207" s="187" t="s">
        <v>303</v>
      </c>
      <c r="C207" s="204" t="s">
        <v>304</v>
      </c>
      <c r="D207" s="45" t="s">
        <v>26</v>
      </c>
      <c r="E207" s="44">
        <v>1</v>
      </c>
      <c r="F207" s="48">
        <v>19017</v>
      </c>
      <c r="G207" s="60">
        <f>+E207*F207</f>
        <v>19017</v>
      </c>
    </row>
    <row r="208" spans="1:7" s="40" customFormat="1" ht="14.25" customHeight="1" x14ac:dyDescent="0.2">
      <c r="A208" s="88" t="s">
        <v>305</v>
      </c>
      <c r="B208" s="187" t="s">
        <v>306</v>
      </c>
      <c r="C208" s="204" t="s">
        <v>307</v>
      </c>
      <c r="D208" s="45" t="s">
        <v>22</v>
      </c>
      <c r="E208" s="44">
        <v>9.17</v>
      </c>
      <c r="F208" s="48">
        <v>29969</v>
      </c>
      <c r="G208" s="60">
        <f t="shared" ref="G208:G210" si="9">+E208*F208</f>
        <v>274815.73</v>
      </c>
    </row>
    <row r="209" spans="1:7" s="40" customFormat="1" ht="14.25" customHeight="1" x14ac:dyDescent="0.2">
      <c r="A209" s="88" t="s">
        <v>308</v>
      </c>
      <c r="B209" s="187" t="s">
        <v>309</v>
      </c>
      <c r="C209" s="204" t="s">
        <v>310</v>
      </c>
      <c r="D209" s="45" t="s">
        <v>26</v>
      </c>
      <c r="E209" s="44">
        <v>2</v>
      </c>
      <c r="F209" s="48">
        <v>119199</v>
      </c>
      <c r="G209" s="60">
        <f t="shared" si="9"/>
        <v>238398</v>
      </c>
    </row>
    <row r="210" spans="1:7" s="40" customFormat="1" ht="14.25" customHeight="1" x14ac:dyDescent="0.2">
      <c r="A210" s="88" t="s">
        <v>311</v>
      </c>
      <c r="B210" s="187" t="s">
        <v>312</v>
      </c>
      <c r="C210" s="204" t="s">
        <v>313</v>
      </c>
      <c r="D210" s="45" t="s">
        <v>26</v>
      </c>
      <c r="E210" s="44">
        <v>1</v>
      </c>
      <c r="F210" s="48">
        <v>14669</v>
      </c>
      <c r="G210" s="60">
        <f t="shared" si="9"/>
        <v>14669</v>
      </c>
    </row>
    <row r="211" spans="1:7" s="40" customFormat="1" ht="14.25" customHeight="1" thickBot="1" x14ac:dyDescent="0.25">
      <c r="A211" s="210" t="s">
        <v>30</v>
      </c>
      <c r="B211" s="211"/>
      <c r="C211" s="211"/>
      <c r="D211" s="211"/>
      <c r="E211" s="211"/>
      <c r="F211" s="212"/>
      <c r="G211" s="87">
        <f>SUM(G174:G210)</f>
        <v>64617783.808074996</v>
      </c>
    </row>
    <row r="212" spans="1:7" s="40" customFormat="1" ht="14.25" customHeight="1" x14ac:dyDescent="0.2">
      <c r="A212" s="213" t="s">
        <v>314</v>
      </c>
      <c r="B212" s="214"/>
      <c r="C212" s="214"/>
      <c r="D212" s="214"/>
      <c r="E212" s="214"/>
      <c r="F212" s="214"/>
      <c r="G212" s="215"/>
    </row>
    <row r="213" spans="1:7" s="59" customFormat="1" ht="14.25" customHeight="1" x14ac:dyDescent="0.2">
      <c r="A213" s="53"/>
      <c r="B213" s="180"/>
      <c r="C213" s="54"/>
      <c r="D213" s="55"/>
      <c r="E213" s="90"/>
      <c r="F213" s="57"/>
      <c r="G213" s="58"/>
    </row>
    <row r="214" spans="1:7" s="40" customFormat="1" ht="14.25" customHeight="1" x14ac:dyDescent="0.2">
      <c r="A214" s="52">
        <v>7.1</v>
      </c>
      <c r="B214" s="185"/>
      <c r="C214" s="42" t="s">
        <v>184</v>
      </c>
      <c r="D214" s="45"/>
      <c r="E214" s="90"/>
      <c r="F214" s="48"/>
      <c r="G214" s="46"/>
    </row>
    <row r="215" spans="1:7" s="40" customFormat="1" ht="14.25" customHeight="1" x14ac:dyDescent="0.2">
      <c r="A215" s="47" t="s">
        <v>315</v>
      </c>
      <c r="B215" s="185" t="s">
        <v>34</v>
      </c>
      <c r="C215" s="43" t="s">
        <v>35</v>
      </c>
      <c r="D215" s="45" t="s">
        <v>18</v>
      </c>
      <c r="E215" s="44">
        <v>92.7</v>
      </c>
      <c r="F215" s="48">
        <v>5498</v>
      </c>
      <c r="G215" s="46">
        <f>+E215*F215</f>
        <v>509664.60000000003</v>
      </c>
    </row>
    <row r="216" spans="1:7" s="40" customFormat="1" ht="12.75" x14ac:dyDescent="0.2">
      <c r="A216" s="47" t="s">
        <v>316</v>
      </c>
      <c r="B216" s="185" t="s">
        <v>37</v>
      </c>
      <c r="C216" s="43" t="s">
        <v>90</v>
      </c>
      <c r="D216" s="45" t="s">
        <v>39</v>
      </c>
      <c r="E216" s="91">
        <v>146.37</v>
      </c>
      <c r="F216" s="48">
        <v>20317</v>
      </c>
      <c r="G216" s="46">
        <f>+E216*F216</f>
        <v>2973799.29</v>
      </c>
    </row>
    <row r="217" spans="1:7" s="59" customFormat="1" ht="14.25" customHeight="1" x14ac:dyDescent="0.2">
      <c r="A217" s="53"/>
      <c r="B217" s="180"/>
      <c r="C217" s="54"/>
      <c r="D217" s="55"/>
      <c r="E217" s="44"/>
      <c r="F217" s="57"/>
      <c r="G217" s="58"/>
    </row>
    <row r="218" spans="1:7" s="40" customFormat="1" ht="14.25" customHeight="1" x14ac:dyDescent="0.2">
      <c r="A218" s="52">
        <v>7.2</v>
      </c>
      <c r="B218" s="185"/>
      <c r="C218" s="42" t="s">
        <v>43</v>
      </c>
      <c r="D218" s="45"/>
      <c r="E218" s="44"/>
      <c r="F218" s="48"/>
      <c r="G218" s="46"/>
    </row>
    <row r="219" spans="1:7" s="40" customFormat="1" ht="14.25" customHeight="1" x14ac:dyDescent="0.2">
      <c r="A219" s="47" t="s">
        <v>317</v>
      </c>
      <c r="B219" s="185" t="s">
        <v>45</v>
      </c>
      <c r="C219" s="43" t="s">
        <v>318</v>
      </c>
      <c r="D219" s="45" t="s">
        <v>39</v>
      </c>
      <c r="E219" s="44">
        <v>82.305000000000007</v>
      </c>
      <c r="F219" s="48">
        <v>18202</v>
      </c>
      <c r="G219" s="46">
        <f>+E219*F219</f>
        <v>1498115.61</v>
      </c>
    </row>
    <row r="220" spans="1:7" s="59" customFormat="1" ht="14.25" customHeight="1" x14ac:dyDescent="0.2">
      <c r="A220" s="53"/>
      <c r="B220" s="180"/>
      <c r="C220" s="54"/>
      <c r="D220" s="55"/>
      <c r="E220" s="90"/>
      <c r="F220" s="57"/>
      <c r="G220" s="58"/>
    </row>
    <row r="221" spans="1:7" s="40" customFormat="1" ht="14.25" customHeight="1" x14ac:dyDescent="0.2">
      <c r="A221" s="52">
        <v>7.3</v>
      </c>
      <c r="B221" s="185"/>
      <c r="C221" s="42" t="s">
        <v>47</v>
      </c>
      <c r="D221" s="45"/>
      <c r="E221" s="90"/>
      <c r="F221" s="48"/>
      <c r="G221" s="46"/>
    </row>
    <row r="222" spans="1:7" s="40" customFormat="1" ht="14.25" customHeight="1" x14ac:dyDescent="0.2">
      <c r="A222" s="47" t="s">
        <v>319</v>
      </c>
      <c r="B222" s="185" t="s">
        <v>49</v>
      </c>
      <c r="C222" s="43" t="s">
        <v>320</v>
      </c>
      <c r="D222" s="45" t="s">
        <v>39</v>
      </c>
      <c r="E222" s="91">
        <v>4.37</v>
      </c>
      <c r="F222" s="48">
        <v>291746</v>
      </c>
      <c r="G222" s="46">
        <f>+E222*F222</f>
        <v>1274930.02</v>
      </c>
    </row>
    <row r="223" spans="1:7" s="40" customFormat="1" ht="14.25" customHeight="1" x14ac:dyDescent="0.2">
      <c r="A223" s="47" t="s">
        <v>321</v>
      </c>
      <c r="B223" s="185" t="s">
        <v>52</v>
      </c>
      <c r="C223" s="43" t="s">
        <v>195</v>
      </c>
      <c r="D223" s="45" t="s">
        <v>39</v>
      </c>
      <c r="E223" s="44">
        <v>8.7320000000000011</v>
      </c>
      <c r="F223" s="48">
        <v>739963</v>
      </c>
      <c r="G223" s="46">
        <f>+E223*F223</f>
        <v>6461356.9160000011</v>
      </c>
    </row>
    <row r="224" spans="1:7" s="40" customFormat="1" ht="14.25" customHeight="1" x14ac:dyDescent="0.2">
      <c r="A224" s="47" t="s">
        <v>322</v>
      </c>
      <c r="B224" s="185" t="s">
        <v>55</v>
      </c>
      <c r="C224" s="43" t="s">
        <v>197</v>
      </c>
      <c r="D224" s="45" t="s">
        <v>39</v>
      </c>
      <c r="E224" s="44">
        <v>12.144</v>
      </c>
      <c r="F224" s="48">
        <v>770156</v>
      </c>
      <c r="G224" s="46">
        <f>+E224*F224</f>
        <v>9352774.4639999997</v>
      </c>
    </row>
    <row r="225" spans="1:7" s="40" customFormat="1" ht="14.25" customHeight="1" x14ac:dyDescent="0.2">
      <c r="A225" s="47" t="s">
        <v>323</v>
      </c>
      <c r="B225" s="185" t="s">
        <v>324</v>
      </c>
      <c r="C225" s="43" t="s">
        <v>325</v>
      </c>
      <c r="D225" s="45" t="s">
        <v>39</v>
      </c>
      <c r="E225" s="44">
        <v>4.0940000000000003</v>
      </c>
      <c r="F225" s="48">
        <v>491832</v>
      </c>
      <c r="G225" s="46">
        <f>+E225*F225</f>
        <v>2013560.2080000001</v>
      </c>
    </row>
    <row r="226" spans="1:7" s="40" customFormat="1" ht="14.25" customHeight="1" x14ac:dyDescent="0.2">
      <c r="A226" s="47" t="s">
        <v>326</v>
      </c>
      <c r="B226" s="185"/>
      <c r="C226" s="43" t="s">
        <v>205</v>
      </c>
      <c r="D226" s="45" t="s">
        <v>22</v>
      </c>
      <c r="E226" s="44"/>
      <c r="F226" s="48"/>
      <c r="G226" s="46">
        <f>+E226*F226</f>
        <v>0</v>
      </c>
    </row>
    <row r="227" spans="1:7" s="59" customFormat="1" ht="14.25" customHeight="1" x14ac:dyDescent="0.2">
      <c r="A227" s="53"/>
      <c r="B227" s="180"/>
      <c r="C227" s="54"/>
      <c r="D227" s="55"/>
      <c r="E227" s="90"/>
      <c r="F227" s="57"/>
      <c r="G227" s="58"/>
    </row>
    <row r="228" spans="1:7" s="40" customFormat="1" ht="14.25" customHeight="1" x14ac:dyDescent="0.2">
      <c r="A228" s="52">
        <v>7.4</v>
      </c>
      <c r="B228" s="185"/>
      <c r="C228" s="42" t="s">
        <v>60</v>
      </c>
      <c r="D228" s="45"/>
      <c r="E228" s="90"/>
      <c r="F228" s="48"/>
      <c r="G228" s="46"/>
    </row>
    <row r="229" spans="1:7" s="40" customFormat="1" ht="12.75" x14ac:dyDescent="0.2">
      <c r="A229" s="52" t="s">
        <v>327</v>
      </c>
      <c r="B229" s="185" t="s">
        <v>62</v>
      </c>
      <c r="C229" s="43" t="s">
        <v>63</v>
      </c>
      <c r="D229" s="45" t="s">
        <v>64</v>
      </c>
      <c r="E229" s="91">
        <v>2497.0000000000005</v>
      </c>
      <c r="F229" s="48">
        <v>4259</v>
      </c>
      <c r="G229" s="46">
        <f>+E229*F229</f>
        <v>10634723.000000002</v>
      </c>
    </row>
    <row r="230" spans="1:7" s="59" customFormat="1" ht="14.25" customHeight="1" x14ac:dyDescent="0.2">
      <c r="A230" s="52"/>
      <c r="B230" s="185"/>
      <c r="C230" s="54"/>
      <c r="D230" s="55"/>
      <c r="E230" s="56"/>
      <c r="F230" s="57"/>
      <c r="G230" s="58"/>
    </row>
    <row r="231" spans="1:7" s="40" customFormat="1" ht="12.75" x14ac:dyDescent="0.2">
      <c r="A231" s="52">
        <v>7.5</v>
      </c>
      <c r="B231" s="182"/>
      <c r="C231" s="219" t="s">
        <v>78</v>
      </c>
      <c r="D231" s="220"/>
      <c r="E231" s="220"/>
      <c r="F231" s="220"/>
      <c r="G231" s="255"/>
    </row>
    <row r="232" spans="1:7" s="40" customFormat="1" ht="12.75" x14ac:dyDescent="0.2">
      <c r="A232" s="52" t="s">
        <v>328</v>
      </c>
      <c r="B232" s="182"/>
      <c r="C232" s="166" t="s">
        <v>329</v>
      </c>
      <c r="D232" s="165"/>
      <c r="E232" s="165"/>
      <c r="F232" s="165"/>
      <c r="G232" s="199"/>
    </row>
    <row r="233" spans="1:7" s="40" customFormat="1" ht="14.25" customHeight="1" x14ac:dyDescent="0.2">
      <c r="A233" s="47" t="s">
        <v>330</v>
      </c>
      <c r="B233" s="185" t="s">
        <v>168</v>
      </c>
      <c r="C233" s="43" t="s">
        <v>331</v>
      </c>
      <c r="D233" s="45" t="s">
        <v>22</v>
      </c>
      <c r="E233" s="44">
        <v>14.84</v>
      </c>
      <c r="F233" s="48">
        <v>95600</v>
      </c>
      <c r="G233" s="83">
        <f>+E233*F233</f>
        <v>1418704</v>
      </c>
    </row>
    <row r="234" spans="1:7" ht="14.25" customHeight="1" thickBot="1" x14ac:dyDescent="0.25">
      <c r="A234" s="267" t="s">
        <v>30</v>
      </c>
      <c r="B234" s="268"/>
      <c r="C234" s="268"/>
      <c r="D234" s="268"/>
      <c r="E234" s="268"/>
      <c r="F234" s="269"/>
      <c r="G234" s="87">
        <f>SUM(G214:G233)</f>
        <v>36137628.108000003</v>
      </c>
    </row>
    <row r="235" spans="1:7" s="40" customFormat="1" ht="14.25" customHeight="1" x14ac:dyDescent="0.2">
      <c r="A235" s="213" t="s">
        <v>332</v>
      </c>
      <c r="B235" s="214"/>
      <c r="C235" s="214"/>
      <c r="D235" s="214"/>
      <c r="E235" s="214"/>
      <c r="F235" s="214"/>
      <c r="G235" s="215"/>
    </row>
    <row r="236" spans="1:7" s="40" customFormat="1" ht="14.25" customHeight="1" x14ac:dyDescent="0.2">
      <c r="A236" s="47"/>
      <c r="B236" s="185"/>
      <c r="C236" s="43"/>
      <c r="D236" s="45"/>
      <c r="E236" s="44"/>
      <c r="F236" s="48"/>
      <c r="G236" s="46"/>
    </row>
    <row r="237" spans="1:7" s="40" customFormat="1" ht="14.25" customHeight="1" x14ac:dyDescent="0.2">
      <c r="A237" s="52">
        <v>8.1</v>
      </c>
      <c r="B237" s="185"/>
      <c r="C237" s="42" t="s">
        <v>184</v>
      </c>
      <c r="D237" s="45"/>
      <c r="E237" s="44"/>
      <c r="F237" s="48"/>
      <c r="G237" s="46"/>
    </row>
    <row r="238" spans="1:7" s="40" customFormat="1" ht="14.25" customHeight="1" x14ac:dyDescent="0.2">
      <c r="A238" s="47" t="s">
        <v>333</v>
      </c>
      <c r="B238" s="185" t="s">
        <v>34</v>
      </c>
      <c r="C238" s="43" t="s">
        <v>35</v>
      </c>
      <c r="D238" s="45" t="s">
        <v>18</v>
      </c>
      <c r="E238" s="44">
        <v>40.345000000000006</v>
      </c>
      <c r="F238" s="48">
        <v>5498</v>
      </c>
      <c r="G238" s="46">
        <f>+E238*F238</f>
        <v>221816.81000000003</v>
      </c>
    </row>
    <row r="239" spans="1:7" s="40" customFormat="1" ht="14.25" customHeight="1" x14ac:dyDescent="0.2">
      <c r="A239" s="47" t="s">
        <v>334</v>
      </c>
      <c r="B239" s="185" t="s">
        <v>37</v>
      </c>
      <c r="C239" s="43" t="s">
        <v>38</v>
      </c>
      <c r="D239" s="45" t="s">
        <v>39</v>
      </c>
      <c r="E239" s="44">
        <f>+E238*0.8</f>
        <v>32.276000000000003</v>
      </c>
      <c r="F239" s="48">
        <v>20317</v>
      </c>
      <c r="G239" s="46">
        <f>+E239*F239</f>
        <v>655751.49200000009</v>
      </c>
    </row>
    <row r="240" spans="1:7" s="40" customFormat="1" ht="14.25" customHeight="1" x14ac:dyDescent="0.2">
      <c r="A240" s="47" t="s">
        <v>335</v>
      </c>
      <c r="B240" s="185"/>
      <c r="C240" s="43" t="s">
        <v>336</v>
      </c>
      <c r="D240" s="45" t="s">
        <v>39</v>
      </c>
      <c r="E240" s="44"/>
      <c r="F240" s="48">
        <v>22055</v>
      </c>
      <c r="G240" s="46">
        <f>+E240*F240</f>
        <v>0</v>
      </c>
    </row>
    <row r="241" spans="1:7" s="40" customFormat="1" ht="14.25" customHeight="1" x14ac:dyDescent="0.2">
      <c r="A241" s="47" t="s">
        <v>337</v>
      </c>
      <c r="B241" s="185"/>
      <c r="C241" s="43" t="s">
        <v>338</v>
      </c>
      <c r="D241" s="45"/>
      <c r="E241" s="44"/>
      <c r="F241" s="48">
        <v>32348</v>
      </c>
      <c r="G241" s="46">
        <f>+E241*F241</f>
        <v>0</v>
      </c>
    </row>
    <row r="242" spans="1:7" s="40" customFormat="1" ht="14.25" customHeight="1" x14ac:dyDescent="0.2">
      <c r="A242" s="47" t="s">
        <v>339</v>
      </c>
      <c r="B242" s="185" t="s">
        <v>41</v>
      </c>
      <c r="C242" s="43" t="s">
        <v>340</v>
      </c>
      <c r="D242" s="45" t="s">
        <v>39</v>
      </c>
      <c r="E242" s="44">
        <f>+E238*0.2</f>
        <v>8.0690000000000008</v>
      </c>
      <c r="F242" s="48">
        <v>8854</v>
      </c>
      <c r="G242" s="46">
        <f>+E242*F242</f>
        <v>71442.926000000007</v>
      </c>
    </row>
    <row r="243" spans="1:7" s="40" customFormat="1" ht="14.25" customHeight="1" x14ac:dyDescent="0.2">
      <c r="A243" s="47"/>
      <c r="B243" s="185"/>
      <c r="C243" s="43"/>
      <c r="D243" s="45"/>
      <c r="E243" s="44"/>
      <c r="F243" s="48"/>
      <c r="G243" s="46"/>
    </row>
    <row r="244" spans="1:7" s="40" customFormat="1" ht="14.25" customHeight="1" x14ac:dyDescent="0.2">
      <c r="A244" s="52">
        <v>8.1999999999999993</v>
      </c>
      <c r="B244" s="185"/>
      <c r="C244" s="42" t="s">
        <v>43</v>
      </c>
      <c r="D244" s="45"/>
      <c r="E244" s="44"/>
      <c r="F244" s="48"/>
      <c r="G244" s="46"/>
    </row>
    <row r="245" spans="1:7" s="40" customFormat="1" ht="14.25" customHeight="1" x14ac:dyDescent="0.2">
      <c r="A245" s="47" t="s">
        <v>341</v>
      </c>
      <c r="B245" s="185" t="s">
        <v>45</v>
      </c>
      <c r="C245" s="43" t="s">
        <v>46</v>
      </c>
      <c r="D245" s="45" t="s">
        <v>39</v>
      </c>
      <c r="E245" s="44">
        <f>+E239-E242</f>
        <v>24.207000000000001</v>
      </c>
      <c r="F245" s="48">
        <v>18202</v>
      </c>
      <c r="G245" s="46">
        <f>+E245*F245</f>
        <v>440615.81400000001</v>
      </c>
    </row>
    <row r="246" spans="1:7" s="40" customFormat="1" ht="14.25" customHeight="1" x14ac:dyDescent="0.2">
      <c r="A246" s="47"/>
      <c r="B246" s="185"/>
      <c r="C246" s="43"/>
      <c r="D246" s="45"/>
      <c r="E246" s="44"/>
      <c r="F246" s="48"/>
      <c r="G246" s="46"/>
    </row>
    <row r="247" spans="1:7" s="40" customFormat="1" ht="14.25" customHeight="1" x14ac:dyDescent="0.2">
      <c r="A247" s="52">
        <v>8.3000000000000007</v>
      </c>
      <c r="B247" s="185"/>
      <c r="C247" s="42" t="s">
        <v>47</v>
      </c>
      <c r="D247" s="45"/>
      <c r="E247" s="44"/>
      <c r="F247" s="48"/>
      <c r="G247" s="46"/>
    </row>
    <row r="248" spans="1:7" s="40" customFormat="1" ht="14.25" customHeight="1" x14ac:dyDescent="0.2">
      <c r="A248" s="47" t="s">
        <v>342</v>
      </c>
      <c r="B248" s="185" t="s">
        <v>49</v>
      </c>
      <c r="C248" s="43" t="s">
        <v>50</v>
      </c>
      <c r="D248" s="45" t="s">
        <v>39</v>
      </c>
      <c r="E248" s="44">
        <f>+E238*0.05</f>
        <v>2.0172500000000002</v>
      </c>
      <c r="F248" s="48">
        <v>291746</v>
      </c>
      <c r="G248" s="46">
        <f>+E248*F248</f>
        <v>588524.6185000001</v>
      </c>
    </row>
    <row r="249" spans="1:7" s="40" customFormat="1" ht="14.25" customHeight="1" x14ac:dyDescent="0.2">
      <c r="A249" s="47" t="s">
        <v>343</v>
      </c>
      <c r="B249" s="185" t="s">
        <v>344</v>
      </c>
      <c r="C249" s="43" t="s">
        <v>345</v>
      </c>
      <c r="D249" s="45" t="s">
        <v>39</v>
      </c>
      <c r="E249" s="44">
        <v>2.4851999999999999</v>
      </c>
      <c r="F249" s="48">
        <v>540791</v>
      </c>
      <c r="G249" s="46">
        <f>+E249*F249</f>
        <v>1343973.7932</v>
      </c>
    </row>
    <row r="250" spans="1:7" s="40" customFormat="1" ht="14.25" customHeight="1" x14ac:dyDescent="0.2">
      <c r="A250" s="47" t="s">
        <v>346</v>
      </c>
      <c r="B250" s="185" t="s">
        <v>344</v>
      </c>
      <c r="C250" s="43" t="s">
        <v>347</v>
      </c>
      <c r="D250" s="45" t="s">
        <v>39</v>
      </c>
      <c r="E250" s="44">
        <v>1.7999999999999998</v>
      </c>
      <c r="F250" s="48">
        <v>540791</v>
      </c>
      <c r="G250" s="46">
        <f>+E250*F250</f>
        <v>973423.79999999993</v>
      </c>
    </row>
    <row r="251" spans="1:7" s="40" customFormat="1" ht="14.25" customHeight="1" x14ac:dyDescent="0.2">
      <c r="A251" s="47" t="s">
        <v>348</v>
      </c>
      <c r="B251" s="185" t="s">
        <v>344</v>
      </c>
      <c r="C251" s="43" t="s">
        <v>349</v>
      </c>
      <c r="D251" s="45" t="s">
        <v>39</v>
      </c>
      <c r="E251" s="44">
        <v>1.0874999999999999</v>
      </c>
      <c r="F251" s="48">
        <v>540791</v>
      </c>
      <c r="G251" s="46">
        <f>+E251*F251</f>
        <v>588110.21249999991</v>
      </c>
    </row>
    <row r="252" spans="1:7" s="40" customFormat="1" ht="14.25" customHeight="1" x14ac:dyDescent="0.2">
      <c r="A252" s="47" t="s">
        <v>350</v>
      </c>
      <c r="B252" s="185" t="s">
        <v>351</v>
      </c>
      <c r="C252" s="43" t="s">
        <v>352</v>
      </c>
      <c r="D252" s="45" t="s">
        <v>39</v>
      </c>
      <c r="E252" s="44">
        <v>2.5874999999999999</v>
      </c>
      <c r="F252" s="48">
        <v>591841</v>
      </c>
      <c r="G252" s="46">
        <f>+E252*F252</f>
        <v>1531388.5874999999</v>
      </c>
    </row>
    <row r="253" spans="1:7" s="59" customFormat="1" ht="14.25" customHeight="1" x14ac:dyDescent="0.2">
      <c r="A253" s="53"/>
      <c r="B253" s="180"/>
      <c r="C253" s="54"/>
      <c r="D253" s="55"/>
      <c r="E253" s="56"/>
      <c r="F253" s="57"/>
      <c r="G253" s="58"/>
    </row>
    <row r="254" spans="1:7" s="40" customFormat="1" ht="14.25" customHeight="1" x14ac:dyDescent="0.2">
      <c r="A254" s="52">
        <v>8.4</v>
      </c>
      <c r="B254" s="185"/>
      <c r="C254" s="42" t="s">
        <v>60</v>
      </c>
      <c r="D254" s="45"/>
      <c r="E254" s="44"/>
      <c r="F254" s="48"/>
      <c r="G254" s="46"/>
    </row>
    <row r="255" spans="1:7" s="40" customFormat="1" ht="12.75" x14ac:dyDescent="0.2">
      <c r="A255" s="47" t="s">
        <v>353</v>
      </c>
      <c r="B255" s="185" t="s">
        <v>62</v>
      </c>
      <c r="C255" s="43" t="s">
        <v>63</v>
      </c>
      <c r="D255" s="45" t="s">
        <v>64</v>
      </c>
      <c r="E255" s="44">
        <v>1215.4000000000001</v>
      </c>
      <c r="F255" s="48">
        <v>4259</v>
      </c>
      <c r="G255" s="46">
        <f>+E255*F255</f>
        <v>5176388.6000000006</v>
      </c>
    </row>
    <row r="256" spans="1:7" s="59" customFormat="1" ht="14.25" customHeight="1" x14ac:dyDescent="0.2">
      <c r="A256" s="53"/>
      <c r="B256" s="180"/>
      <c r="C256" s="54"/>
      <c r="D256" s="55"/>
      <c r="E256" s="56"/>
      <c r="F256" s="57"/>
      <c r="G256" s="58"/>
    </row>
    <row r="257" spans="1:7" s="40" customFormat="1" ht="14.25" customHeight="1" x14ac:dyDescent="0.2">
      <c r="A257" s="52">
        <v>8.5</v>
      </c>
      <c r="B257" s="185"/>
      <c r="C257" s="42" t="s">
        <v>354</v>
      </c>
      <c r="D257" s="45"/>
      <c r="E257" s="44"/>
      <c r="F257" s="48"/>
      <c r="G257" s="46"/>
    </row>
    <row r="258" spans="1:7" s="40" customFormat="1" ht="12.75" x14ac:dyDescent="0.2">
      <c r="A258" s="47" t="s">
        <v>355</v>
      </c>
      <c r="B258" s="185" t="s">
        <v>356</v>
      </c>
      <c r="C258" s="43" t="s">
        <v>357</v>
      </c>
      <c r="D258" s="45" t="s">
        <v>18</v>
      </c>
      <c r="E258" s="44">
        <v>56.94</v>
      </c>
      <c r="F258" s="48">
        <v>49725</v>
      </c>
      <c r="G258" s="46">
        <f>+E258*F258</f>
        <v>2831341.5</v>
      </c>
    </row>
    <row r="259" spans="1:7" s="40" customFormat="1" ht="14.25" customHeight="1" x14ac:dyDescent="0.2">
      <c r="A259" s="47" t="s">
        <v>358</v>
      </c>
      <c r="B259" s="185" t="s">
        <v>359</v>
      </c>
      <c r="C259" s="43" t="s">
        <v>360</v>
      </c>
      <c r="D259" s="45" t="s">
        <v>18</v>
      </c>
      <c r="E259" s="44">
        <f>+E258</f>
        <v>56.94</v>
      </c>
      <c r="F259" s="48">
        <v>11336</v>
      </c>
      <c r="G259" s="46">
        <f>+E259*F259</f>
        <v>645471.84</v>
      </c>
    </row>
    <row r="260" spans="1:7" s="40" customFormat="1" ht="14.25" customHeight="1" x14ac:dyDescent="0.2">
      <c r="A260" s="47" t="s">
        <v>361</v>
      </c>
      <c r="B260" s="185" t="s">
        <v>362</v>
      </c>
      <c r="C260" s="43" t="s">
        <v>363</v>
      </c>
      <c r="D260" s="45" t="s">
        <v>18</v>
      </c>
      <c r="E260" s="44">
        <f>+E259</f>
        <v>56.94</v>
      </c>
      <c r="F260" s="48">
        <v>17973</v>
      </c>
      <c r="G260" s="46">
        <f>+E260*F260</f>
        <v>1023382.62</v>
      </c>
    </row>
    <row r="261" spans="1:7" s="40" customFormat="1" ht="14.25" customHeight="1" x14ac:dyDescent="0.2">
      <c r="A261" s="47" t="s">
        <v>364</v>
      </c>
      <c r="B261" s="185" t="s">
        <v>365</v>
      </c>
      <c r="C261" s="43" t="s">
        <v>366</v>
      </c>
      <c r="D261" s="45" t="s">
        <v>18</v>
      </c>
      <c r="E261" s="44">
        <v>33.03</v>
      </c>
      <c r="F261" s="48">
        <v>96116</v>
      </c>
      <c r="G261" s="46">
        <f>+E261*F261</f>
        <v>3174711.48</v>
      </c>
    </row>
    <row r="262" spans="1:7" s="40" customFormat="1" ht="14.25" customHeight="1" x14ac:dyDescent="0.2">
      <c r="A262" s="47"/>
      <c r="B262" s="185"/>
      <c r="C262" s="43"/>
      <c r="D262" s="45"/>
      <c r="E262" s="44"/>
      <c r="F262" s="48"/>
      <c r="G262" s="46"/>
    </row>
    <row r="263" spans="1:7" s="40" customFormat="1" ht="14.25" customHeight="1" x14ac:dyDescent="0.2">
      <c r="A263" s="52">
        <v>8.6</v>
      </c>
      <c r="B263" s="182"/>
      <c r="C263" s="92" t="s">
        <v>110</v>
      </c>
      <c r="D263" s="93"/>
      <c r="E263" s="44"/>
      <c r="F263" s="93"/>
      <c r="G263" s="94"/>
    </row>
    <row r="264" spans="1:7" s="40" customFormat="1" ht="14.25" customHeight="1" x14ac:dyDescent="0.2">
      <c r="A264" s="52" t="s">
        <v>367</v>
      </c>
      <c r="B264" s="185" t="s">
        <v>368</v>
      </c>
      <c r="C264" s="43" t="s">
        <v>369</v>
      </c>
      <c r="D264" s="45" t="s">
        <v>26</v>
      </c>
      <c r="E264" s="44">
        <v>3</v>
      </c>
      <c r="F264" s="48">
        <v>292222</v>
      </c>
      <c r="G264" s="46">
        <f>+E264*F264</f>
        <v>876666</v>
      </c>
    </row>
    <row r="265" spans="1:7" s="40" customFormat="1" ht="14.25" customHeight="1" x14ac:dyDescent="0.2">
      <c r="A265" s="52" t="s">
        <v>370</v>
      </c>
      <c r="B265" s="185" t="s">
        <v>371</v>
      </c>
      <c r="C265" s="43" t="s">
        <v>372</v>
      </c>
      <c r="D265" s="45" t="s">
        <v>26</v>
      </c>
      <c r="E265" s="44">
        <v>1</v>
      </c>
      <c r="F265" s="48">
        <v>1400830</v>
      </c>
      <c r="G265" s="46">
        <f>+E265*F265</f>
        <v>1400830</v>
      </c>
    </row>
    <row r="266" spans="1:7" s="40" customFormat="1" ht="14.25" customHeight="1" thickBot="1" x14ac:dyDescent="0.25">
      <c r="A266" s="210" t="s">
        <v>30</v>
      </c>
      <c r="B266" s="211"/>
      <c r="C266" s="211"/>
      <c r="D266" s="211"/>
      <c r="E266" s="211"/>
      <c r="F266" s="212"/>
      <c r="G266" s="87">
        <f>SUM(G236:G265)</f>
        <v>21543840.093699999</v>
      </c>
    </row>
    <row r="267" spans="1:7" s="59" customFormat="1" ht="14.25" customHeight="1" x14ac:dyDescent="0.2">
      <c r="A267" s="213" t="s">
        <v>373</v>
      </c>
      <c r="B267" s="214"/>
      <c r="C267" s="214"/>
      <c r="D267" s="214"/>
      <c r="E267" s="214"/>
      <c r="F267" s="214"/>
      <c r="G267" s="215"/>
    </row>
    <row r="268" spans="1:7" s="59" customFormat="1" ht="14.25" customHeight="1" x14ac:dyDescent="0.2">
      <c r="A268" s="99"/>
      <c r="B268" s="99"/>
      <c r="C268" s="105"/>
      <c r="D268" s="105"/>
      <c r="E268" s="106"/>
      <c r="F268" s="105"/>
      <c r="G268" s="107"/>
    </row>
    <row r="269" spans="1:7" s="40" customFormat="1" ht="14.25" customHeight="1" x14ac:dyDescent="0.2">
      <c r="A269" s="95">
        <v>9.1</v>
      </c>
      <c r="B269" s="95"/>
      <c r="C269" s="42" t="s">
        <v>184</v>
      </c>
      <c r="D269" s="167"/>
      <c r="E269" s="96"/>
      <c r="F269" s="97"/>
      <c r="G269" s="98"/>
    </row>
    <row r="270" spans="1:7" s="40" customFormat="1" ht="14.25" customHeight="1" x14ac:dyDescent="0.2">
      <c r="A270" s="95" t="s">
        <v>374</v>
      </c>
      <c r="B270" s="95" t="s">
        <v>34</v>
      </c>
      <c r="C270" s="43" t="s">
        <v>35</v>
      </c>
      <c r="D270" s="45" t="s">
        <v>18</v>
      </c>
      <c r="E270" s="96">
        <v>47.9</v>
      </c>
      <c r="F270" s="48">
        <v>5498</v>
      </c>
      <c r="G270" s="46">
        <f>+E270*F270</f>
        <v>263354.2</v>
      </c>
    </row>
    <row r="271" spans="1:7" s="40" customFormat="1" ht="14.25" customHeight="1" x14ac:dyDescent="0.2">
      <c r="A271" s="95" t="s">
        <v>375</v>
      </c>
      <c r="B271" s="95" t="s">
        <v>37</v>
      </c>
      <c r="C271" s="43" t="s">
        <v>38</v>
      </c>
      <c r="D271" s="45" t="s">
        <v>39</v>
      </c>
      <c r="E271" s="96">
        <f>+E270*1.2</f>
        <v>57.48</v>
      </c>
      <c r="F271" s="48">
        <v>20317</v>
      </c>
      <c r="G271" s="46">
        <f>+E271*F271</f>
        <v>1167821.1599999999</v>
      </c>
    </row>
    <row r="272" spans="1:7" s="40" customFormat="1" ht="14.25" customHeight="1" x14ac:dyDescent="0.2">
      <c r="A272" s="95" t="s">
        <v>376</v>
      </c>
      <c r="B272" s="95"/>
      <c r="C272" s="43" t="s">
        <v>336</v>
      </c>
      <c r="D272" s="45" t="s">
        <v>39</v>
      </c>
      <c r="E272" s="96"/>
      <c r="F272" s="48">
        <v>22055</v>
      </c>
      <c r="G272" s="46">
        <f>+E272*F272</f>
        <v>0</v>
      </c>
    </row>
    <row r="273" spans="1:7" s="40" customFormat="1" ht="14.25" customHeight="1" x14ac:dyDescent="0.2">
      <c r="A273" s="95" t="s">
        <v>377</v>
      </c>
      <c r="B273" s="95"/>
      <c r="C273" s="43" t="s">
        <v>338</v>
      </c>
      <c r="D273" s="45" t="s">
        <v>39</v>
      </c>
      <c r="E273" s="96"/>
      <c r="F273" s="48">
        <v>32348</v>
      </c>
      <c r="G273" s="46"/>
    </row>
    <row r="274" spans="1:7" s="40" customFormat="1" ht="14.25" customHeight="1" x14ac:dyDescent="0.2">
      <c r="A274" s="95" t="s">
        <v>378</v>
      </c>
      <c r="B274" s="95" t="s">
        <v>41</v>
      </c>
      <c r="C274" s="43" t="s">
        <v>42</v>
      </c>
      <c r="D274" s="45" t="s">
        <v>39</v>
      </c>
      <c r="E274" s="96">
        <f>+E271-E277</f>
        <v>47.9</v>
      </c>
      <c r="F274" s="48">
        <v>8854</v>
      </c>
      <c r="G274" s="46">
        <f>+E274*F274</f>
        <v>424106.6</v>
      </c>
    </row>
    <row r="275" spans="1:7" s="40" customFormat="1" ht="14.25" customHeight="1" x14ac:dyDescent="0.2">
      <c r="A275" s="108"/>
      <c r="B275" s="108"/>
      <c r="C275" s="43"/>
      <c r="D275" s="45"/>
      <c r="E275" s="96"/>
      <c r="F275" s="97"/>
      <c r="G275" s="46"/>
    </row>
    <row r="276" spans="1:7" s="40" customFormat="1" ht="14.25" customHeight="1" x14ac:dyDescent="0.2">
      <c r="A276" s="95">
        <v>9.1999999999999993</v>
      </c>
      <c r="B276" s="95"/>
      <c r="C276" s="42" t="s">
        <v>43</v>
      </c>
      <c r="D276" s="45"/>
      <c r="E276" s="96"/>
      <c r="F276" s="97"/>
      <c r="G276" s="46"/>
    </row>
    <row r="277" spans="1:7" s="40" customFormat="1" ht="14.25" customHeight="1" x14ac:dyDescent="0.2">
      <c r="A277" s="95" t="s">
        <v>379</v>
      </c>
      <c r="B277" s="95" t="s">
        <v>45</v>
      </c>
      <c r="C277" s="43" t="s">
        <v>46</v>
      </c>
      <c r="D277" s="45" t="s">
        <v>39</v>
      </c>
      <c r="E277" s="96">
        <f>+E270*0.2</f>
        <v>9.58</v>
      </c>
      <c r="F277" s="97">
        <v>18202</v>
      </c>
      <c r="G277" s="46">
        <f>+E277*F277</f>
        <v>174375.16</v>
      </c>
    </row>
    <row r="278" spans="1:7" s="59" customFormat="1" ht="14.25" customHeight="1" x14ac:dyDescent="0.2">
      <c r="A278" s="109"/>
      <c r="B278" s="109"/>
      <c r="C278" s="54"/>
      <c r="D278" s="55"/>
      <c r="E278" s="100"/>
      <c r="F278" s="101"/>
      <c r="G278" s="58"/>
    </row>
    <row r="279" spans="1:7" s="40" customFormat="1" ht="14.25" customHeight="1" x14ac:dyDescent="0.2">
      <c r="A279" s="95">
        <v>9.3000000000000007</v>
      </c>
      <c r="B279" s="95"/>
      <c r="C279" s="42" t="s">
        <v>47</v>
      </c>
      <c r="D279" s="45"/>
      <c r="E279" s="96"/>
      <c r="F279" s="97"/>
      <c r="G279" s="46"/>
    </row>
    <row r="280" spans="1:7" s="40" customFormat="1" ht="14.25" customHeight="1" x14ac:dyDescent="0.2">
      <c r="A280" s="95" t="s">
        <v>380</v>
      </c>
      <c r="B280" s="95" t="s">
        <v>49</v>
      </c>
      <c r="C280" s="43" t="s">
        <v>50</v>
      </c>
      <c r="D280" s="45" t="s">
        <v>39</v>
      </c>
      <c r="E280" s="96">
        <v>2.395</v>
      </c>
      <c r="F280" s="48">
        <v>291746</v>
      </c>
      <c r="G280" s="46">
        <f>+E280*F280</f>
        <v>698731.67</v>
      </c>
    </row>
    <row r="281" spans="1:7" s="40" customFormat="1" ht="14.25" customHeight="1" x14ac:dyDescent="0.2">
      <c r="A281" s="95" t="s">
        <v>381</v>
      </c>
      <c r="B281" s="95" t="s">
        <v>344</v>
      </c>
      <c r="C281" s="43" t="s">
        <v>382</v>
      </c>
      <c r="D281" s="45" t="s">
        <v>39</v>
      </c>
      <c r="E281" s="96">
        <v>7.1849999999999996</v>
      </c>
      <c r="F281" s="48">
        <v>540791</v>
      </c>
      <c r="G281" s="46">
        <f>+E281*F281</f>
        <v>3885583.335</v>
      </c>
    </row>
    <row r="282" spans="1:7" s="40" customFormat="1" ht="14.25" customHeight="1" x14ac:dyDescent="0.2">
      <c r="A282" s="95" t="s">
        <v>383</v>
      </c>
      <c r="B282" s="95" t="s">
        <v>351</v>
      </c>
      <c r="C282" s="43" t="s">
        <v>384</v>
      </c>
      <c r="D282" s="45" t="s">
        <v>39</v>
      </c>
      <c r="E282" s="96">
        <v>0.68467500000000003</v>
      </c>
      <c r="F282" s="51">
        <v>591841</v>
      </c>
      <c r="G282" s="46">
        <f>+E282*F282</f>
        <v>405218.73667499999</v>
      </c>
    </row>
    <row r="283" spans="1:7" s="40" customFormat="1" ht="14.25" customHeight="1" x14ac:dyDescent="0.2">
      <c r="A283" s="95" t="s">
        <v>385</v>
      </c>
      <c r="B283" s="95" t="s">
        <v>386</v>
      </c>
      <c r="C283" s="43" t="s">
        <v>387</v>
      </c>
      <c r="D283" s="45" t="s">
        <v>39</v>
      </c>
      <c r="E283" s="96">
        <v>7.7724000000000011</v>
      </c>
      <c r="F283" s="48">
        <v>621101</v>
      </c>
      <c r="G283" s="46">
        <f>+E283*F283</f>
        <v>4827445.4124000007</v>
      </c>
    </row>
    <row r="284" spans="1:7" s="59" customFormat="1" ht="14.25" customHeight="1" x14ac:dyDescent="0.2">
      <c r="A284" s="109"/>
      <c r="B284" s="109"/>
      <c r="C284" s="54"/>
      <c r="D284" s="55"/>
      <c r="E284" s="100"/>
      <c r="F284" s="101"/>
      <c r="G284" s="58"/>
    </row>
    <row r="285" spans="1:7" s="40" customFormat="1" ht="14.25" customHeight="1" x14ac:dyDescent="0.2">
      <c r="A285" s="95">
        <v>9.4</v>
      </c>
      <c r="B285" s="95"/>
      <c r="C285" s="42" t="s">
        <v>60</v>
      </c>
      <c r="D285" s="45"/>
      <c r="E285" s="96"/>
      <c r="F285" s="97"/>
      <c r="G285" s="46"/>
    </row>
    <row r="286" spans="1:7" s="40" customFormat="1" ht="12.75" x14ac:dyDescent="0.2">
      <c r="A286" s="95" t="s">
        <v>388</v>
      </c>
      <c r="B286" s="95" t="s">
        <v>62</v>
      </c>
      <c r="C286" s="43" t="s">
        <v>63</v>
      </c>
      <c r="D286" s="45" t="s">
        <v>64</v>
      </c>
      <c r="E286" s="96">
        <v>799.35074999999995</v>
      </c>
      <c r="F286" s="48">
        <v>4259</v>
      </c>
      <c r="G286" s="46">
        <f>+E286*F286</f>
        <v>3404434.8442499996</v>
      </c>
    </row>
    <row r="287" spans="1:7" s="59" customFormat="1" ht="14.25" customHeight="1" x14ac:dyDescent="0.2">
      <c r="A287" s="99"/>
      <c r="B287" s="99"/>
      <c r="C287" s="105"/>
      <c r="D287" s="105"/>
      <c r="E287" s="106"/>
      <c r="F287" s="101"/>
      <c r="G287" s="58"/>
    </row>
    <row r="288" spans="1:7" s="40" customFormat="1" ht="14.25" customHeight="1" x14ac:dyDescent="0.2">
      <c r="A288" s="95">
        <v>9.5</v>
      </c>
      <c r="B288" s="95"/>
      <c r="C288" s="167" t="s">
        <v>389</v>
      </c>
      <c r="D288" s="167"/>
      <c r="E288" s="103"/>
      <c r="F288" s="97"/>
      <c r="G288" s="46"/>
    </row>
    <row r="289" spans="1:7" s="40" customFormat="1" ht="12.75" x14ac:dyDescent="0.2">
      <c r="A289" s="95" t="s">
        <v>390</v>
      </c>
      <c r="B289" s="95" t="s">
        <v>356</v>
      </c>
      <c r="C289" s="104" t="s">
        <v>357</v>
      </c>
      <c r="D289" s="45" t="s">
        <v>18</v>
      </c>
      <c r="E289" s="96">
        <v>96.72999999999999</v>
      </c>
      <c r="F289" s="48">
        <v>49725</v>
      </c>
      <c r="G289" s="46">
        <f t="shared" ref="G289:G298" si="10">+E289*F289</f>
        <v>4809899.2499999991</v>
      </c>
    </row>
    <row r="290" spans="1:7" s="40" customFormat="1" ht="14.25" customHeight="1" x14ac:dyDescent="0.2">
      <c r="A290" s="95" t="s">
        <v>391</v>
      </c>
      <c r="B290" s="95" t="s">
        <v>392</v>
      </c>
      <c r="C290" s="104" t="s">
        <v>393</v>
      </c>
      <c r="D290" s="45" t="s">
        <v>18</v>
      </c>
      <c r="E290" s="96">
        <v>39.909999999999997</v>
      </c>
      <c r="F290" s="97">
        <v>66431</v>
      </c>
      <c r="G290" s="46">
        <f t="shared" si="10"/>
        <v>2651261.21</v>
      </c>
    </row>
    <row r="291" spans="1:7" s="40" customFormat="1" ht="14.25" customHeight="1" x14ac:dyDescent="0.2">
      <c r="A291" s="95" t="s">
        <v>394</v>
      </c>
      <c r="B291" s="95" t="s">
        <v>395</v>
      </c>
      <c r="C291" s="104" t="s">
        <v>396</v>
      </c>
      <c r="D291" s="45" t="s">
        <v>18</v>
      </c>
      <c r="E291" s="96">
        <v>2.14</v>
      </c>
      <c r="F291" s="97">
        <v>68832</v>
      </c>
      <c r="G291" s="46">
        <f t="shared" si="10"/>
        <v>147300.48000000001</v>
      </c>
    </row>
    <row r="292" spans="1:7" s="40" customFormat="1" ht="14.25" customHeight="1" x14ac:dyDescent="0.2">
      <c r="A292" s="95" t="s">
        <v>397</v>
      </c>
      <c r="B292" s="95" t="s">
        <v>395</v>
      </c>
      <c r="C292" s="104" t="s">
        <v>398</v>
      </c>
      <c r="D292" s="45" t="s">
        <v>18</v>
      </c>
      <c r="E292" s="96">
        <v>4.62</v>
      </c>
      <c r="F292" s="97">
        <v>68832</v>
      </c>
      <c r="G292" s="46">
        <f t="shared" si="10"/>
        <v>318003.84000000003</v>
      </c>
    </row>
    <row r="293" spans="1:7" s="40" customFormat="1" ht="14.25" customHeight="1" x14ac:dyDescent="0.2">
      <c r="A293" s="95" t="s">
        <v>399</v>
      </c>
      <c r="B293" s="95" t="s">
        <v>400</v>
      </c>
      <c r="C293" s="104" t="s">
        <v>401</v>
      </c>
      <c r="D293" s="45" t="s">
        <v>26</v>
      </c>
      <c r="E293" s="96">
        <v>1</v>
      </c>
      <c r="F293" s="97">
        <v>550016</v>
      </c>
      <c r="G293" s="46">
        <f t="shared" si="10"/>
        <v>550016</v>
      </c>
    </row>
    <row r="294" spans="1:7" s="40" customFormat="1" ht="14.25" customHeight="1" x14ac:dyDescent="0.2">
      <c r="A294" s="95" t="s">
        <v>402</v>
      </c>
      <c r="B294" s="95" t="s">
        <v>403</v>
      </c>
      <c r="C294" s="104" t="s">
        <v>404</v>
      </c>
      <c r="D294" s="45" t="s">
        <v>39</v>
      </c>
      <c r="E294" s="96">
        <v>0.22</v>
      </c>
      <c r="F294" s="205">
        <v>617513</v>
      </c>
      <c r="G294" s="46">
        <f t="shared" si="10"/>
        <v>135852.86000000002</v>
      </c>
    </row>
    <row r="295" spans="1:7" s="40" customFormat="1" ht="14.25" customHeight="1" x14ac:dyDescent="0.2">
      <c r="A295" s="95" t="s">
        <v>405</v>
      </c>
      <c r="B295" s="95" t="s">
        <v>406</v>
      </c>
      <c r="C295" s="104" t="s">
        <v>407</v>
      </c>
      <c r="D295" s="45" t="s">
        <v>26</v>
      </c>
      <c r="E295" s="96">
        <v>1</v>
      </c>
      <c r="F295" s="97">
        <v>3091978</v>
      </c>
      <c r="G295" s="46">
        <f t="shared" si="10"/>
        <v>3091978</v>
      </c>
    </row>
    <row r="296" spans="1:7" s="40" customFormat="1" ht="14.25" customHeight="1" x14ac:dyDescent="0.2">
      <c r="A296" s="95" t="s">
        <v>408</v>
      </c>
      <c r="B296" s="95" t="s">
        <v>359</v>
      </c>
      <c r="C296" s="104" t="s">
        <v>360</v>
      </c>
      <c r="D296" s="97" t="s">
        <v>18</v>
      </c>
      <c r="E296" s="96">
        <f>+E289</f>
        <v>96.72999999999999</v>
      </c>
      <c r="F296" s="48">
        <v>11336</v>
      </c>
      <c r="G296" s="46">
        <f t="shared" si="10"/>
        <v>1096531.2799999998</v>
      </c>
    </row>
    <row r="297" spans="1:7" s="40" customFormat="1" ht="14.25" customHeight="1" x14ac:dyDescent="0.2">
      <c r="A297" s="95" t="s">
        <v>409</v>
      </c>
      <c r="B297" s="95" t="s">
        <v>362</v>
      </c>
      <c r="C297" s="104" t="s">
        <v>363</v>
      </c>
      <c r="D297" s="97" t="s">
        <v>18</v>
      </c>
      <c r="E297" s="96">
        <f>+E289</f>
        <v>96.72999999999999</v>
      </c>
      <c r="F297" s="48">
        <v>17973</v>
      </c>
      <c r="G297" s="46">
        <f t="shared" si="10"/>
        <v>1738528.2899999998</v>
      </c>
    </row>
    <row r="298" spans="1:7" s="40" customFormat="1" ht="14.25" customHeight="1" x14ac:dyDescent="0.2">
      <c r="A298" s="95" t="s">
        <v>410</v>
      </c>
      <c r="B298" s="95" t="s">
        <v>365</v>
      </c>
      <c r="C298" s="104" t="s">
        <v>366</v>
      </c>
      <c r="D298" s="97" t="s">
        <v>18</v>
      </c>
      <c r="E298" s="96">
        <v>48.25</v>
      </c>
      <c r="F298" s="48">
        <v>96116</v>
      </c>
      <c r="G298" s="46">
        <f t="shared" si="10"/>
        <v>4637597</v>
      </c>
    </row>
    <row r="299" spans="1:7" s="59" customFormat="1" ht="14.25" customHeight="1" x14ac:dyDescent="0.2">
      <c r="A299" s="99"/>
      <c r="B299" s="99"/>
      <c r="C299" s="105"/>
      <c r="D299" s="105"/>
      <c r="E299" s="100"/>
      <c r="F299" s="101"/>
      <c r="G299" s="58"/>
    </row>
    <row r="300" spans="1:7" s="40" customFormat="1" ht="14.25" customHeight="1" x14ac:dyDescent="0.2">
      <c r="A300" s="95">
        <v>9.6</v>
      </c>
      <c r="B300" s="190"/>
      <c r="C300" s="219" t="s">
        <v>110</v>
      </c>
      <c r="D300" s="220"/>
      <c r="E300" s="220"/>
      <c r="F300" s="220"/>
      <c r="G300" s="255"/>
    </row>
    <row r="301" spans="1:7" s="40" customFormat="1" ht="17.25" customHeight="1" x14ac:dyDescent="0.2">
      <c r="A301" s="95" t="s">
        <v>411</v>
      </c>
      <c r="B301" s="95" t="s">
        <v>412</v>
      </c>
      <c r="C301" s="104" t="s">
        <v>413</v>
      </c>
      <c r="D301" s="97" t="s">
        <v>26</v>
      </c>
      <c r="E301" s="96">
        <v>4</v>
      </c>
      <c r="F301" s="205">
        <v>247744</v>
      </c>
      <c r="G301" s="46">
        <f t="shared" ref="G301:G307" si="11">+E301*F301</f>
        <v>990976</v>
      </c>
    </row>
    <row r="302" spans="1:7" s="40" customFormat="1" ht="14.25" customHeight="1" x14ac:dyDescent="0.2">
      <c r="A302" s="95" t="s">
        <v>414</v>
      </c>
      <c r="B302" s="95" t="s">
        <v>415</v>
      </c>
      <c r="C302" s="104" t="s">
        <v>416</v>
      </c>
      <c r="D302" s="97" t="s">
        <v>26</v>
      </c>
      <c r="E302" s="96">
        <v>2</v>
      </c>
      <c r="F302" s="205">
        <v>488225</v>
      </c>
      <c r="G302" s="46">
        <f t="shared" si="11"/>
        <v>976450</v>
      </c>
    </row>
    <row r="303" spans="1:7" s="40" customFormat="1" ht="14.25" customHeight="1" x14ac:dyDescent="0.2">
      <c r="A303" s="95" t="s">
        <v>417</v>
      </c>
      <c r="B303" s="95" t="s">
        <v>418</v>
      </c>
      <c r="C303" s="104" t="s">
        <v>419</v>
      </c>
      <c r="D303" s="97" t="s">
        <v>26</v>
      </c>
      <c r="E303" s="96">
        <v>1</v>
      </c>
      <c r="F303" s="205">
        <v>138117</v>
      </c>
      <c r="G303" s="46">
        <f t="shared" si="11"/>
        <v>138117</v>
      </c>
    </row>
    <row r="304" spans="1:7" s="40" customFormat="1" ht="14.25" customHeight="1" x14ac:dyDescent="0.2">
      <c r="A304" s="95" t="s">
        <v>420</v>
      </c>
      <c r="B304" s="95" t="s">
        <v>421</v>
      </c>
      <c r="C304" s="104" t="s">
        <v>422</v>
      </c>
      <c r="D304" s="97" t="s">
        <v>26</v>
      </c>
      <c r="E304" s="96">
        <v>1</v>
      </c>
      <c r="F304" s="205">
        <v>514764</v>
      </c>
      <c r="G304" s="46">
        <f t="shared" si="11"/>
        <v>514764</v>
      </c>
    </row>
    <row r="305" spans="1:7" s="40" customFormat="1" ht="14.25" customHeight="1" x14ac:dyDescent="0.2">
      <c r="A305" s="95" t="s">
        <v>423</v>
      </c>
      <c r="B305" s="95" t="s">
        <v>424</v>
      </c>
      <c r="C305" s="104" t="s">
        <v>425</v>
      </c>
      <c r="D305" s="97" t="s">
        <v>26</v>
      </c>
      <c r="E305" s="96">
        <v>1</v>
      </c>
      <c r="F305" s="205">
        <v>1173063</v>
      </c>
      <c r="G305" s="46">
        <f t="shared" si="11"/>
        <v>1173063</v>
      </c>
    </row>
    <row r="306" spans="1:7" s="40" customFormat="1" ht="14.25" customHeight="1" x14ac:dyDescent="0.2">
      <c r="A306" s="95" t="s">
        <v>426</v>
      </c>
      <c r="B306" s="95" t="s">
        <v>427</v>
      </c>
      <c r="C306" s="104" t="s">
        <v>428</v>
      </c>
      <c r="D306" s="97" t="s">
        <v>26</v>
      </c>
      <c r="E306" s="96">
        <v>1</v>
      </c>
      <c r="F306" s="205">
        <v>399361</v>
      </c>
      <c r="G306" s="46">
        <f t="shared" si="11"/>
        <v>399361</v>
      </c>
    </row>
    <row r="307" spans="1:7" s="40" customFormat="1" ht="14.25" customHeight="1" x14ac:dyDescent="0.2">
      <c r="A307" s="95" t="s">
        <v>429</v>
      </c>
      <c r="B307" s="95" t="s">
        <v>430</v>
      </c>
      <c r="C307" s="104" t="s">
        <v>431</v>
      </c>
      <c r="D307" s="97" t="s">
        <v>26</v>
      </c>
      <c r="E307" s="96">
        <v>3</v>
      </c>
      <c r="F307" s="205">
        <v>614342</v>
      </c>
      <c r="G307" s="46">
        <f t="shared" si="11"/>
        <v>1843026</v>
      </c>
    </row>
    <row r="308" spans="1:7" s="40" customFormat="1" ht="14.25" customHeight="1" thickBot="1" x14ac:dyDescent="0.25">
      <c r="A308" s="210" t="s">
        <v>30</v>
      </c>
      <c r="B308" s="211"/>
      <c r="C308" s="211"/>
      <c r="D308" s="211"/>
      <c r="E308" s="211"/>
      <c r="F308" s="212"/>
      <c r="G308" s="87">
        <f>SUM(G269:G307)</f>
        <v>40463796.328325003</v>
      </c>
    </row>
    <row r="309" spans="1:7" s="40" customFormat="1" ht="14.25" customHeight="1" x14ac:dyDescent="0.2">
      <c r="A309" s="213" t="s">
        <v>432</v>
      </c>
      <c r="B309" s="214"/>
      <c r="C309" s="214"/>
      <c r="D309" s="214"/>
      <c r="E309" s="214"/>
      <c r="F309" s="214"/>
      <c r="G309" s="215"/>
    </row>
    <row r="310" spans="1:7" s="40" customFormat="1" ht="12" customHeight="1" x14ac:dyDescent="0.2">
      <c r="A310" s="108"/>
      <c r="B310" s="108"/>
      <c r="C310" s="167"/>
      <c r="D310" s="167"/>
      <c r="E310" s="103"/>
      <c r="F310" s="167"/>
      <c r="G310" s="98"/>
    </row>
    <row r="311" spans="1:7" s="40" customFormat="1" ht="20.25" customHeight="1" x14ac:dyDescent="0.2">
      <c r="A311" s="52">
        <v>10.1</v>
      </c>
      <c r="B311" s="185"/>
      <c r="C311" s="110" t="s">
        <v>433</v>
      </c>
      <c r="D311" s="45"/>
      <c r="E311" s="44"/>
      <c r="F311" s="48"/>
      <c r="G311" s="46"/>
    </row>
    <row r="312" spans="1:7" s="40" customFormat="1" ht="12.75" x14ac:dyDescent="0.2">
      <c r="A312" s="52" t="s">
        <v>434</v>
      </c>
      <c r="B312" s="185" t="s">
        <v>34</v>
      </c>
      <c r="C312" s="43" t="s">
        <v>35</v>
      </c>
      <c r="D312" s="45" t="s">
        <v>18</v>
      </c>
      <c r="E312" s="96">
        <v>1095</v>
      </c>
      <c r="F312" s="48">
        <v>5498</v>
      </c>
      <c r="G312" s="46">
        <f t="shared" ref="G312:G317" si="12">+E312*F312</f>
        <v>6020310</v>
      </c>
    </row>
    <row r="313" spans="1:7" s="40" customFormat="1" ht="14.25" customHeight="1" x14ac:dyDescent="0.2">
      <c r="A313" s="52" t="s">
        <v>435</v>
      </c>
      <c r="B313" s="185" t="s">
        <v>37</v>
      </c>
      <c r="C313" s="43" t="s">
        <v>38</v>
      </c>
      <c r="D313" s="45" t="s">
        <v>39</v>
      </c>
      <c r="E313" s="96">
        <f>+E312*0.8</f>
        <v>876</v>
      </c>
      <c r="F313" s="48">
        <v>20317</v>
      </c>
      <c r="G313" s="46">
        <f t="shared" si="12"/>
        <v>17797692</v>
      </c>
    </row>
    <row r="314" spans="1:7" s="40" customFormat="1" ht="14.25" customHeight="1" x14ac:dyDescent="0.2">
      <c r="A314" s="52" t="s">
        <v>436</v>
      </c>
      <c r="B314" s="185" t="s">
        <v>41</v>
      </c>
      <c r="C314" s="43" t="s">
        <v>42</v>
      </c>
      <c r="D314" s="45" t="s">
        <v>39</v>
      </c>
      <c r="E314" s="96">
        <f>+E313</f>
        <v>876</v>
      </c>
      <c r="F314" s="48">
        <v>8854</v>
      </c>
      <c r="G314" s="46">
        <f t="shared" si="12"/>
        <v>7756104</v>
      </c>
    </row>
    <row r="315" spans="1:7" s="40" customFormat="1" ht="14.25" customHeight="1" x14ac:dyDescent="0.2">
      <c r="A315" s="52" t="s">
        <v>437</v>
      </c>
      <c r="B315" s="185" t="s">
        <v>188</v>
      </c>
      <c r="C315" s="193" t="s">
        <v>189</v>
      </c>
      <c r="D315" s="45" t="s">
        <v>39</v>
      </c>
      <c r="E315" s="96">
        <f>+E312*0.2</f>
        <v>219</v>
      </c>
      <c r="F315" s="48">
        <v>64314</v>
      </c>
      <c r="G315" s="46">
        <f t="shared" si="12"/>
        <v>14084766</v>
      </c>
    </row>
    <row r="316" spans="1:7" s="40" customFormat="1" ht="14.25" customHeight="1" x14ac:dyDescent="0.2">
      <c r="A316" s="52" t="s">
        <v>438</v>
      </c>
      <c r="B316" s="185" t="s">
        <v>439</v>
      </c>
      <c r="C316" s="193" t="s">
        <v>440</v>
      </c>
      <c r="D316" s="45" t="s">
        <v>18</v>
      </c>
      <c r="E316" s="96">
        <f>+E312*0.08</f>
        <v>87.600000000000009</v>
      </c>
      <c r="F316" s="48">
        <v>72404</v>
      </c>
      <c r="G316" s="46">
        <f t="shared" si="12"/>
        <v>6342590.4000000004</v>
      </c>
    </row>
    <row r="317" spans="1:7" s="40" customFormat="1" ht="14.25" customHeight="1" x14ac:dyDescent="0.2">
      <c r="A317" s="52" t="s">
        <v>441</v>
      </c>
      <c r="B317" s="185" t="s">
        <v>442</v>
      </c>
      <c r="C317" s="193" t="s">
        <v>443</v>
      </c>
      <c r="D317" s="45" t="s">
        <v>39</v>
      </c>
      <c r="E317" s="96">
        <f>+E312*0.06</f>
        <v>65.7</v>
      </c>
      <c r="F317" s="48">
        <v>97271</v>
      </c>
      <c r="G317" s="46">
        <f t="shared" si="12"/>
        <v>6390704.7000000002</v>
      </c>
    </row>
    <row r="318" spans="1:7" s="40" customFormat="1" ht="14.25" customHeight="1" x14ac:dyDescent="0.2">
      <c r="A318" s="52"/>
      <c r="B318" s="185"/>
      <c r="C318" s="110"/>
      <c r="D318" s="45"/>
      <c r="E318" s="96"/>
      <c r="F318" s="110"/>
      <c r="G318" s="111"/>
    </row>
    <row r="319" spans="1:7" s="40" customFormat="1" ht="14.25" customHeight="1" x14ac:dyDescent="0.2">
      <c r="A319" s="112">
        <v>10.199999999999999</v>
      </c>
      <c r="B319" s="191"/>
      <c r="C319" s="110" t="s">
        <v>444</v>
      </c>
      <c r="D319" s="45"/>
      <c r="E319" s="44"/>
      <c r="F319" s="48"/>
      <c r="G319" s="46"/>
    </row>
    <row r="320" spans="1:7" s="40" customFormat="1" ht="14.25" customHeight="1" x14ac:dyDescent="0.2">
      <c r="A320" s="112" t="s">
        <v>445</v>
      </c>
      <c r="B320" s="191" t="s">
        <v>34</v>
      </c>
      <c r="C320" s="43" t="s">
        <v>35</v>
      </c>
      <c r="D320" s="45" t="s">
        <v>18</v>
      </c>
      <c r="E320" s="96">
        <f>576+222</f>
        <v>798</v>
      </c>
      <c r="F320" s="48">
        <v>5498</v>
      </c>
      <c r="G320" s="46">
        <f t="shared" ref="G320:G325" si="13">+E320*F320</f>
        <v>4387404</v>
      </c>
    </row>
    <row r="321" spans="1:7" s="40" customFormat="1" ht="14.25" customHeight="1" x14ac:dyDescent="0.2">
      <c r="A321" s="112" t="s">
        <v>446</v>
      </c>
      <c r="B321" s="191" t="s">
        <v>37</v>
      </c>
      <c r="C321" s="43" t="s">
        <v>38</v>
      </c>
      <c r="D321" s="45" t="s">
        <v>39</v>
      </c>
      <c r="E321" s="96">
        <f>+E320*0.8</f>
        <v>638.40000000000009</v>
      </c>
      <c r="F321" s="48">
        <v>20317</v>
      </c>
      <c r="G321" s="46">
        <f t="shared" si="13"/>
        <v>12970372.800000003</v>
      </c>
    </row>
    <row r="322" spans="1:7" s="40" customFormat="1" ht="14.25" customHeight="1" x14ac:dyDescent="0.2">
      <c r="A322" s="112" t="s">
        <v>447</v>
      </c>
      <c r="B322" s="191" t="s">
        <v>188</v>
      </c>
      <c r="C322" s="43" t="s">
        <v>189</v>
      </c>
      <c r="D322" s="45" t="s">
        <v>39</v>
      </c>
      <c r="E322" s="96">
        <f>+E320*0.2</f>
        <v>159.60000000000002</v>
      </c>
      <c r="F322" s="48">
        <v>64314</v>
      </c>
      <c r="G322" s="46">
        <f t="shared" si="13"/>
        <v>10264514.400000002</v>
      </c>
    </row>
    <row r="323" spans="1:7" s="40" customFormat="1" ht="14.25" customHeight="1" x14ac:dyDescent="0.2">
      <c r="A323" s="112" t="s">
        <v>448</v>
      </c>
      <c r="B323" s="191" t="s">
        <v>439</v>
      </c>
      <c r="C323" s="43" t="s">
        <v>440</v>
      </c>
      <c r="D323" s="45" t="s">
        <v>18</v>
      </c>
      <c r="E323" s="96">
        <f>+E320*0.08</f>
        <v>63.84</v>
      </c>
      <c r="F323" s="48">
        <f>+F316</f>
        <v>72404</v>
      </c>
      <c r="G323" s="46">
        <f t="shared" si="13"/>
        <v>4622271.3600000003</v>
      </c>
    </row>
    <row r="324" spans="1:7" s="40" customFormat="1" ht="14.25" customHeight="1" x14ac:dyDescent="0.2">
      <c r="A324" s="112" t="s">
        <v>449</v>
      </c>
      <c r="B324" s="191" t="s">
        <v>442</v>
      </c>
      <c r="C324" s="43" t="s">
        <v>443</v>
      </c>
      <c r="D324" s="45" t="s">
        <v>39</v>
      </c>
      <c r="E324" s="96">
        <f>+E320*0.06</f>
        <v>47.879999999999995</v>
      </c>
      <c r="F324" s="48">
        <f>+F317</f>
        <v>97271</v>
      </c>
      <c r="G324" s="46">
        <f t="shared" si="13"/>
        <v>4657335.4799999995</v>
      </c>
    </row>
    <row r="325" spans="1:7" s="40" customFormat="1" ht="14.25" customHeight="1" x14ac:dyDescent="0.2">
      <c r="A325" s="112" t="s">
        <v>450</v>
      </c>
      <c r="B325" s="191" t="s">
        <v>451</v>
      </c>
      <c r="C325" s="43" t="s">
        <v>452</v>
      </c>
      <c r="D325" s="45" t="s">
        <v>39</v>
      </c>
      <c r="E325" s="96">
        <f>+E320*0.1</f>
        <v>79.800000000000011</v>
      </c>
      <c r="F325" s="48">
        <v>553039</v>
      </c>
      <c r="G325" s="46">
        <f t="shared" si="13"/>
        <v>44132512.200000003</v>
      </c>
    </row>
    <row r="326" spans="1:7" s="40" customFormat="1" ht="14.25" customHeight="1" thickBot="1" x14ac:dyDescent="0.25">
      <c r="A326" s="210" t="s">
        <v>30</v>
      </c>
      <c r="B326" s="211"/>
      <c r="C326" s="211"/>
      <c r="D326" s="211"/>
      <c r="E326" s="211"/>
      <c r="F326" s="212"/>
      <c r="G326" s="87">
        <f>SUM(G310:G325)</f>
        <v>139426577.34000003</v>
      </c>
    </row>
    <row r="327" spans="1:7" s="40" customFormat="1" ht="14.25" customHeight="1" x14ac:dyDescent="0.2">
      <c r="A327" s="213" t="s">
        <v>453</v>
      </c>
      <c r="B327" s="214"/>
      <c r="C327" s="214"/>
      <c r="D327" s="214"/>
      <c r="E327" s="214"/>
      <c r="F327" s="214"/>
      <c r="G327" s="215"/>
    </row>
    <row r="328" spans="1:7" s="40" customFormat="1" ht="14.25" customHeight="1" x14ac:dyDescent="0.2">
      <c r="A328" s="108"/>
      <c r="B328" s="108"/>
      <c r="C328" s="167"/>
      <c r="D328" s="167"/>
      <c r="E328" s="103"/>
      <c r="F328" s="167"/>
      <c r="G328" s="98"/>
    </row>
    <row r="329" spans="1:7" s="40" customFormat="1" ht="14.25" customHeight="1" x14ac:dyDescent="0.2">
      <c r="A329" s="52">
        <v>11.1</v>
      </c>
      <c r="B329" s="185"/>
      <c r="C329" s="42" t="s">
        <v>184</v>
      </c>
      <c r="D329" s="45"/>
      <c r="E329" s="96"/>
      <c r="F329" s="167"/>
      <c r="G329" s="98"/>
    </row>
    <row r="330" spans="1:7" s="40" customFormat="1" ht="14.25" customHeight="1" x14ac:dyDescent="0.2">
      <c r="A330" s="47" t="s">
        <v>454</v>
      </c>
      <c r="B330" s="185" t="s">
        <v>34</v>
      </c>
      <c r="C330" s="43" t="s">
        <v>35</v>
      </c>
      <c r="D330" s="45" t="s">
        <v>22</v>
      </c>
      <c r="E330" s="96">
        <v>380.49</v>
      </c>
      <c r="F330" s="48">
        <v>5498</v>
      </c>
      <c r="G330" s="46">
        <f>+E330*F330</f>
        <v>2091934.02</v>
      </c>
    </row>
    <row r="331" spans="1:7" s="40" customFormat="1" ht="12.75" x14ac:dyDescent="0.2">
      <c r="A331" s="47" t="s">
        <v>455</v>
      </c>
      <c r="B331" s="185" t="s">
        <v>37</v>
      </c>
      <c r="C331" s="43" t="s">
        <v>456</v>
      </c>
      <c r="D331" s="45" t="s">
        <v>39</v>
      </c>
      <c r="E331" s="96">
        <v>23.59038</v>
      </c>
      <c r="F331" s="48">
        <v>20317</v>
      </c>
      <c r="G331" s="46">
        <f>+E331*F331</f>
        <v>479285.75046000001</v>
      </c>
    </row>
    <row r="332" spans="1:7" s="59" customFormat="1" ht="14.25" customHeight="1" x14ac:dyDescent="0.2">
      <c r="A332" s="53"/>
      <c r="B332" s="180"/>
      <c r="C332" s="54"/>
      <c r="D332" s="55"/>
      <c r="E332" s="106"/>
      <c r="F332" s="101"/>
      <c r="G332" s="58"/>
    </row>
    <row r="333" spans="1:7" s="40" customFormat="1" ht="14.25" customHeight="1" x14ac:dyDescent="0.2">
      <c r="A333" s="52">
        <v>11.2</v>
      </c>
      <c r="B333" s="185"/>
      <c r="C333" s="42" t="s">
        <v>43</v>
      </c>
      <c r="D333" s="45"/>
      <c r="E333" s="103"/>
      <c r="F333" s="97"/>
      <c r="G333" s="46"/>
    </row>
    <row r="334" spans="1:7" s="40" customFormat="1" ht="14.25" customHeight="1" x14ac:dyDescent="0.2">
      <c r="A334" s="47" t="s">
        <v>457</v>
      </c>
      <c r="B334" s="185" t="s">
        <v>45</v>
      </c>
      <c r="C334" s="43" t="s">
        <v>46</v>
      </c>
      <c r="D334" s="45" t="s">
        <v>39</v>
      </c>
      <c r="E334" s="96">
        <f>+E330*0.3*0.2</f>
        <v>22.829400000000003</v>
      </c>
      <c r="F334" s="97">
        <v>18202</v>
      </c>
      <c r="G334" s="46">
        <f>+E334*F334</f>
        <v>415540.73880000005</v>
      </c>
    </row>
    <row r="335" spans="1:7" s="59" customFormat="1" ht="14.25" customHeight="1" x14ac:dyDescent="0.2">
      <c r="A335" s="53"/>
      <c r="B335" s="180"/>
      <c r="C335" s="54"/>
      <c r="D335" s="55"/>
      <c r="E335" s="106"/>
      <c r="F335" s="101"/>
      <c r="G335" s="58"/>
    </row>
    <row r="336" spans="1:7" s="40" customFormat="1" ht="14.25" customHeight="1" x14ac:dyDescent="0.2">
      <c r="A336" s="52">
        <v>11.3</v>
      </c>
      <c r="B336" s="185"/>
      <c r="C336" s="42" t="s">
        <v>47</v>
      </c>
      <c r="D336" s="45"/>
      <c r="E336" s="103"/>
      <c r="F336" s="97"/>
      <c r="G336" s="46"/>
    </row>
    <row r="337" spans="1:7" s="40" customFormat="1" ht="14.25" customHeight="1" x14ac:dyDescent="0.2">
      <c r="A337" s="47" t="s">
        <v>458</v>
      </c>
      <c r="B337" s="185" t="s">
        <v>49</v>
      </c>
      <c r="C337" s="43" t="s">
        <v>50</v>
      </c>
      <c r="D337" s="45" t="s">
        <v>39</v>
      </c>
      <c r="E337" s="96">
        <v>3.8049000000000008</v>
      </c>
      <c r="F337" s="97">
        <v>291746</v>
      </c>
      <c r="G337" s="46">
        <f>+E337*F337</f>
        <v>1110064.3554000002</v>
      </c>
    </row>
    <row r="338" spans="1:7" s="40" customFormat="1" ht="14.25" customHeight="1" x14ac:dyDescent="0.2">
      <c r="A338" s="47" t="s">
        <v>459</v>
      </c>
      <c r="B338" s="185" t="s">
        <v>386</v>
      </c>
      <c r="C338" s="43" t="s">
        <v>387</v>
      </c>
      <c r="D338" s="45" t="s">
        <v>39</v>
      </c>
      <c r="E338" s="96">
        <v>15.219600000000003</v>
      </c>
      <c r="F338" s="48">
        <v>621101</v>
      </c>
      <c r="G338" s="46">
        <f>+E338*F338</f>
        <v>9452908.7796000019</v>
      </c>
    </row>
    <row r="339" spans="1:7" s="40" customFormat="1" ht="14.25" customHeight="1" x14ac:dyDescent="0.2">
      <c r="A339" s="47" t="s">
        <v>460</v>
      </c>
      <c r="B339" s="185" t="s">
        <v>461</v>
      </c>
      <c r="C339" s="43" t="s">
        <v>462</v>
      </c>
      <c r="D339" s="45" t="s">
        <v>39</v>
      </c>
      <c r="E339" s="96">
        <v>2.7000000000000006</v>
      </c>
      <c r="F339" s="113">
        <v>603947</v>
      </c>
      <c r="G339" s="46">
        <f>+E339*F339</f>
        <v>1630656.9000000004</v>
      </c>
    </row>
    <row r="340" spans="1:7" s="59" customFormat="1" ht="14.25" customHeight="1" x14ac:dyDescent="0.2">
      <c r="A340" s="53"/>
      <c r="B340" s="180"/>
      <c r="C340" s="54"/>
      <c r="D340" s="55"/>
      <c r="E340" s="100"/>
      <c r="F340" s="101"/>
      <c r="G340" s="58"/>
    </row>
    <row r="341" spans="1:7" s="40" customFormat="1" ht="14.25" customHeight="1" x14ac:dyDescent="0.2">
      <c r="A341" s="52">
        <v>11.4</v>
      </c>
      <c r="B341" s="185"/>
      <c r="C341" s="42" t="s">
        <v>60</v>
      </c>
      <c r="D341" s="45"/>
      <c r="E341" s="96"/>
      <c r="F341" s="167"/>
      <c r="G341" s="46"/>
    </row>
    <row r="342" spans="1:7" s="40" customFormat="1" ht="12.75" x14ac:dyDescent="0.2">
      <c r="A342" s="47" t="s">
        <v>463</v>
      </c>
      <c r="B342" s="185" t="s">
        <v>62</v>
      </c>
      <c r="C342" s="43" t="s">
        <v>464</v>
      </c>
      <c r="D342" s="45" t="s">
        <v>64</v>
      </c>
      <c r="E342" s="96">
        <v>258.21960000000007</v>
      </c>
      <c r="F342" s="113">
        <v>4259</v>
      </c>
      <c r="G342" s="46">
        <f>+E342*F342</f>
        <v>1099757.2764000003</v>
      </c>
    </row>
    <row r="343" spans="1:7" s="59" customFormat="1" ht="14.25" customHeight="1" x14ac:dyDescent="0.2">
      <c r="A343" s="99"/>
      <c r="B343" s="99"/>
      <c r="C343" s="105"/>
      <c r="D343" s="105"/>
      <c r="E343" s="106"/>
      <c r="F343" s="105"/>
      <c r="G343" s="58"/>
    </row>
    <row r="344" spans="1:7" s="40" customFormat="1" ht="14.25" customHeight="1" x14ac:dyDescent="0.2">
      <c r="A344" s="95">
        <v>11.5</v>
      </c>
      <c r="B344" s="95"/>
      <c r="C344" s="167" t="s">
        <v>465</v>
      </c>
      <c r="D344" s="167"/>
      <c r="E344" s="103"/>
      <c r="F344" s="167"/>
      <c r="G344" s="46"/>
    </row>
    <row r="345" spans="1:7" s="40" customFormat="1" ht="12.75" x14ac:dyDescent="0.2">
      <c r="A345" s="95" t="s">
        <v>466</v>
      </c>
      <c r="B345" s="95" t="s">
        <v>356</v>
      </c>
      <c r="C345" s="104" t="s">
        <v>357</v>
      </c>
      <c r="D345" s="97" t="s">
        <v>18</v>
      </c>
      <c r="E345" s="96">
        <v>1890</v>
      </c>
      <c r="F345" s="48">
        <v>49725</v>
      </c>
      <c r="G345" s="46">
        <f>+E345*F345</f>
        <v>93980250</v>
      </c>
    </row>
    <row r="346" spans="1:7" s="40" customFormat="1" ht="14.25" customHeight="1" x14ac:dyDescent="0.2">
      <c r="A346" s="95" t="s">
        <v>467</v>
      </c>
      <c r="B346" s="95" t="s">
        <v>468</v>
      </c>
      <c r="C346" s="104" t="s">
        <v>469</v>
      </c>
      <c r="D346" s="97" t="s">
        <v>18</v>
      </c>
      <c r="E346" s="96">
        <v>816</v>
      </c>
      <c r="F346" s="113">
        <v>42479</v>
      </c>
      <c r="G346" s="46">
        <f>+E346*F346</f>
        <v>34662864</v>
      </c>
    </row>
    <row r="347" spans="1:7" s="40" customFormat="1" ht="14.25" customHeight="1" x14ac:dyDescent="0.2">
      <c r="A347" s="95" t="s">
        <v>470</v>
      </c>
      <c r="B347" s="95" t="s">
        <v>471</v>
      </c>
      <c r="C347" s="104" t="s">
        <v>472</v>
      </c>
      <c r="D347" s="97" t="s">
        <v>26</v>
      </c>
      <c r="E347" s="96">
        <v>136</v>
      </c>
      <c r="F347" s="113">
        <v>62353</v>
      </c>
      <c r="G347" s="46">
        <f>+E347*F347</f>
        <v>8480008</v>
      </c>
    </row>
    <row r="348" spans="1:7" s="40" customFormat="1" ht="14.25" customHeight="1" x14ac:dyDescent="0.2">
      <c r="A348" s="95" t="s">
        <v>473</v>
      </c>
      <c r="B348" s="95" t="s">
        <v>474</v>
      </c>
      <c r="C348" s="104" t="s">
        <v>475</v>
      </c>
      <c r="D348" s="97" t="s">
        <v>22</v>
      </c>
      <c r="E348" s="96">
        <v>1141.47</v>
      </c>
      <c r="F348" s="113">
        <v>18492</v>
      </c>
      <c r="G348" s="46">
        <f>+E348*F348</f>
        <v>21108063.240000002</v>
      </c>
    </row>
    <row r="349" spans="1:7" s="40" customFormat="1" ht="13.5" customHeight="1" x14ac:dyDescent="0.2">
      <c r="A349" s="95" t="s">
        <v>476</v>
      </c>
      <c r="B349" s="95" t="s">
        <v>477</v>
      </c>
      <c r="C349" s="104" t="s">
        <v>478</v>
      </c>
      <c r="D349" s="97" t="s">
        <v>26</v>
      </c>
      <c r="E349" s="96">
        <v>1</v>
      </c>
      <c r="F349" s="113">
        <v>1350442</v>
      </c>
      <c r="G349" s="46">
        <f>+E349*F349</f>
        <v>1350442</v>
      </c>
    </row>
    <row r="350" spans="1:7" s="40" customFormat="1" ht="14.25" customHeight="1" x14ac:dyDescent="0.2">
      <c r="A350" s="95"/>
      <c r="B350" s="95"/>
      <c r="C350" s="167"/>
      <c r="D350" s="167"/>
      <c r="E350" s="103"/>
      <c r="F350" s="167"/>
      <c r="G350" s="46"/>
    </row>
    <row r="351" spans="1:7" s="40" customFormat="1" ht="14.25" customHeight="1" x14ac:dyDescent="0.2">
      <c r="A351" s="95">
        <v>11.6</v>
      </c>
      <c r="B351" s="95"/>
      <c r="C351" s="167" t="s">
        <v>479</v>
      </c>
      <c r="D351" s="97"/>
      <c r="E351" s="44"/>
      <c r="F351" s="48"/>
      <c r="G351" s="49"/>
    </row>
    <row r="352" spans="1:7" s="40" customFormat="1" ht="14.25" customHeight="1" x14ac:dyDescent="0.2">
      <c r="A352" s="95" t="s">
        <v>480</v>
      </c>
      <c r="B352" s="95" t="s">
        <v>481</v>
      </c>
      <c r="C352" s="104" t="s">
        <v>482</v>
      </c>
      <c r="D352" s="97" t="s">
        <v>26</v>
      </c>
      <c r="E352" s="44">
        <v>317</v>
      </c>
      <c r="F352" s="48">
        <v>6035</v>
      </c>
      <c r="G352" s="49">
        <f>+E352*F352</f>
        <v>1913095</v>
      </c>
    </row>
    <row r="353" spans="1:7" s="40" customFormat="1" ht="14.25" customHeight="1" thickBot="1" x14ac:dyDescent="0.25">
      <c r="A353" s="210" t="s">
        <v>30</v>
      </c>
      <c r="B353" s="211"/>
      <c r="C353" s="211"/>
      <c r="D353" s="211"/>
      <c r="E353" s="211"/>
      <c r="F353" s="212"/>
      <c r="G353" s="87">
        <f>SUM(G328:G352)</f>
        <v>177774870.06066</v>
      </c>
    </row>
    <row r="354" spans="1:7" s="40" customFormat="1" ht="14.25" customHeight="1" x14ac:dyDescent="0.2">
      <c r="A354" s="213" t="s">
        <v>483</v>
      </c>
      <c r="B354" s="214"/>
      <c r="C354" s="214"/>
      <c r="D354" s="214"/>
      <c r="E354" s="214"/>
      <c r="F354" s="214"/>
      <c r="G354" s="215"/>
    </row>
    <row r="355" spans="1:7" s="40" customFormat="1" ht="14.25" customHeight="1" x14ac:dyDescent="0.2">
      <c r="A355" s="108"/>
      <c r="B355" s="108"/>
      <c r="C355" s="167"/>
      <c r="D355" s="167"/>
      <c r="E355" s="103"/>
      <c r="F355" s="167"/>
      <c r="G355" s="114"/>
    </row>
    <row r="356" spans="1:7" s="40" customFormat="1" ht="14.25" customHeight="1" x14ac:dyDescent="0.2">
      <c r="A356" s="95">
        <v>12.1</v>
      </c>
      <c r="B356" s="95"/>
      <c r="C356" s="42" t="s">
        <v>184</v>
      </c>
      <c r="D356" s="167"/>
      <c r="E356" s="103"/>
      <c r="F356" s="167"/>
      <c r="G356" s="114"/>
    </row>
    <row r="357" spans="1:7" s="40" customFormat="1" ht="14.25" customHeight="1" x14ac:dyDescent="0.2">
      <c r="A357" s="95" t="s">
        <v>484</v>
      </c>
      <c r="B357" s="95" t="s">
        <v>34</v>
      </c>
      <c r="C357" s="43" t="s">
        <v>35</v>
      </c>
      <c r="D357" s="45" t="s">
        <v>18</v>
      </c>
      <c r="E357" s="96">
        <f>7.25*3.8</f>
        <v>27.549999999999997</v>
      </c>
      <c r="F357" s="97">
        <v>5498</v>
      </c>
      <c r="G357" s="115">
        <f t="shared" ref="G357:G363" si="14">+E357*F357</f>
        <v>151469.9</v>
      </c>
    </row>
    <row r="358" spans="1:7" s="40" customFormat="1" ht="14.25" customHeight="1" x14ac:dyDescent="0.2">
      <c r="A358" s="95" t="s">
        <v>485</v>
      </c>
      <c r="B358" s="95"/>
      <c r="C358" s="43" t="s">
        <v>38</v>
      </c>
      <c r="D358" s="45" t="s">
        <v>39</v>
      </c>
      <c r="E358" s="116"/>
      <c r="F358" s="97">
        <v>16908</v>
      </c>
      <c r="G358" s="49">
        <f t="shared" si="14"/>
        <v>0</v>
      </c>
    </row>
    <row r="359" spans="1:7" s="40" customFormat="1" ht="14.25" customHeight="1" x14ac:dyDescent="0.2">
      <c r="A359" s="95" t="s">
        <v>486</v>
      </c>
      <c r="B359" s="95"/>
      <c r="C359" s="43" t="s">
        <v>487</v>
      </c>
      <c r="D359" s="45" t="s">
        <v>39</v>
      </c>
      <c r="E359" s="116"/>
      <c r="F359" s="97">
        <v>22055</v>
      </c>
      <c r="G359" s="49">
        <f t="shared" si="14"/>
        <v>0</v>
      </c>
    </row>
    <row r="360" spans="1:7" s="40" customFormat="1" ht="14.25" customHeight="1" x14ac:dyDescent="0.2">
      <c r="A360" s="95" t="s">
        <v>488</v>
      </c>
      <c r="B360" s="95" t="s">
        <v>37</v>
      </c>
      <c r="C360" s="43" t="s">
        <v>38</v>
      </c>
      <c r="D360" s="45" t="s">
        <v>39</v>
      </c>
      <c r="E360" s="91">
        <v>153.26</v>
      </c>
      <c r="F360" s="48">
        <v>20317</v>
      </c>
      <c r="G360" s="46">
        <f t="shared" si="14"/>
        <v>3113783.42</v>
      </c>
    </row>
    <row r="361" spans="1:7" s="40" customFormat="1" ht="14.25" customHeight="1" x14ac:dyDescent="0.2">
      <c r="A361" s="95" t="s">
        <v>489</v>
      </c>
      <c r="B361" s="95" t="s">
        <v>225</v>
      </c>
      <c r="C361" s="43" t="s">
        <v>336</v>
      </c>
      <c r="D361" s="45" t="s">
        <v>39</v>
      </c>
      <c r="E361" s="44">
        <v>107.25999999999999</v>
      </c>
      <c r="F361" s="48">
        <v>26442</v>
      </c>
      <c r="G361" s="46">
        <f t="shared" si="14"/>
        <v>2836168.92</v>
      </c>
    </row>
    <row r="362" spans="1:7" s="40" customFormat="1" ht="14.25" customHeight="1" x14ac:dyDescent="0.2">
      <c r="A362" s="95" t="s">
        <v>490</v>
      </c>
      <c r="B362" s="95" t="s">
        <v>491</v>
      </c>
      <c r="C362" s="43" t="s">
        <v>492</v>
      </c>
      <c r="D362" s="45" t="s">
        <v>39</v>
      </c>
      <c r="E362" s="96">
        <f>+E357*1.2</f>
        <v>33.059999999999995</v>
      </c>
      <c r="F362" s="97">
        <v>32348</v>
      </c>
      <c r="G362" s="49">
        <f t="shared" si="14"/>
        <v>1069424.8799999999</v>
      </c>
    </row>
    <row r="363" spans="1:7" s="40" customFormat="1" ht="14.25" customHeight="1" x14ac:dyDescent="0.2">
      <c r="A363" s="95" t="s">
        <v>493</v>
      </c>
      <c r="B363" s="95" t="s">
        <v>41</v>
      </c>
      <c r="C363" s="43" t="s">
        <v>494</v>
      </c>
      <c r="D363" s="45" t="s">
        <v>39</v>
      </c>
      <c r="E363" s="96">
        <f>+E362-E366</f>
        <v>26.172499999999996</v>
      </c>
      <c r="F363" s="97">
        <v>16500</v>
      </c>
      <c r="G363" s="49">
        <f t="shared" si="14"/>
        <v>431846.24999999994</v>
      </c>
    </row>
    <row r="364" spans="1:7" s="40" customFormat="1" ht="14.25" customHeight="1" x14ac:dyDescent="0.2">
      <c r="A364" s="108"/>
      <c r="B364" s="108"/>
      <c r="C364" s="43"/>
      <c r="D364" s="45"/>
      <c r="E364" s="96"/>
      <c r="F364" s="97"/>
      <c r="G364" s="49"/>
    </row>
    <row r="365" spans="1:7" s="40" customFormat="1" ht="14.25" customHeight="1" x14ac:dyDescent="0.2">
      <c r="A365" s="95">
        <v>12.2</v>
      </c>
      <c r="B365" s="95"/>
      <c r="C365" s="42" t="s">
        <v>43</v>
      </c>
      <c r="D365" s="45"/>
      <c r="E365" s="96"/>
      <c r="F365" s="97"/>
      <c r="G365" s="49"/>
    </row>
    <row r="366" spans="1:7" s="40" customFormat="1" ht="14.25" customHeight="1" x14ac:dyDescent="0.2">
      <c r="A366" s="95" t="s">
        <v>495</v>
      </c>
      <c r="B366" s="95" t="s">
        <v>45</v>
      </c>
      <c r="C366" s="43" t="s">
        <v>46</v>
      </c>
      <c r="D366" s="45" t="s">
        <v>39</v>
      </c>
      <c r="E366" s="96">
        <f>+E357*0.25</f>
        <v>6.8874999999999993</v>
      </c>
      <c r="F366" s="97">
        <v>18202</v>
      </c>
      <c r="G366" s="49">
        <f>+E366*F366</f>
        <v>125366.27499999999</v>
      </c>
    </row>
    <row r="367" spans="1:7" s="40" customFormat="1" ht="14.25" customHeight="1" x14ac:dyDescent="0.2">
      <c r="A367" s="108"/>
      <c r="B367" s="108"/>
      <c r="C367" s="43"/>
      <c r="D367" s="45"/>
      <c r="E367" s="96"/>
      <c r="F367" s="97"/>
      <c r="G367" s="49"/>
    </row>
    <row r="368" spans="1:7" s="40" customFormat="1" ht="14.25" customHeight="1" x14ac:dyDescent="0.2">
      <c r="A368" s="95">
        <v>12.3</v>
      </c>
      <c r="B368" s="95"/>
      <c r="C368" s="42" t="s">
        <v>47</v>
      </c>
      <c r="D368" s="45"/>
      <c r="E368" s="96"/>
      <c r="F368" s="97"/>
      <c r="G368" s="49"/>
    </row>
    <row r="369" spans="1:7" s="40" customFormat="1" ht="14.25" customHeight="1" x14ac:dyDescent="0.2">
      <c r="A369" s="95" t="s">
        <v>496</v>
      </c>
      <c r="B369" s="95" t="s">
        <v>49</v>
      </c>
      <c r="C369" s="43" t="s">
        <v>497</v>
      </c>
      <c r="D369" s="45" t="s">
        <v>39</v>
      </c>
      <c r="E369" s="96">
        <f>+E357*0.05</f>
        <v>1.3774999999999999</v>
      </c>
      <c r="F369" s="97">
        <v>291746</v>
      </c>
      <c r="G369" s="49">
        <f>+E369*F369</f>
        <v>401880.11499999999</v>
      </c>
    </row>
    <row r="370" spans="1:7" s="40" customFormat="1" ht="14.25" customHeight="1" x14ac:dyDescent="0.2">
      <c r="A370" s="95" t="s">
        <v>498</v>
      </c>
      <c r="B370" s="95" t="s">
        <v>344</v>
      </c>
      <c r="C370" s="102" t="s">
        <v>499</v>
      </c>
      <c r="D370" s="45" t="s">
        <v>39</v>
      </c>
      <c r="E370" s="96">
        <f>+E369*0.15</f>
        <v>0.20662499999999998</v>
      </c>
      <c r="F370" s="48">
        <v>540791</v>
      </c>
      <c r="G370" s="49">
        <f>+E370*F370</f>
        <v>111740.94037499999</v>
      </c>
    </row>
    <row r="371" spans="1:7" s="40" customFormat="1" ht="14.25" customHeight="1" x14ac:dyDescent="0.2">
      <c r="A371" s="95" t="s">
        <v>500</v>
      </c>
      <c r="B371" s="95" t="s">
        <v>351</v>
      </c>
      <c r="C371" s="102" t="s">
        <v>384</v>
      </c>
      <c r="D371" s="45" t="s">
        <v>39</v>
      </c>
      <c r="E371" s="96">
        <v>0.23150000000000001</v>
      </c>
      <c r="F371" s="48">
        <v>591841</v>
      </c>
      <c r="G371" s="49">
        <f>+E371*F371</f>
        <v>137011.19150000002</v>
      </c>
    </row>
    <row r="372" spans="1:7" s="40" customFormat="1" ht="14.25" customHeight="1" x14ac:dyDescent="0.2">
      <c r="A372" s="95" t="s">
        <v>501</v>
      </c>
      <c r="B372" s="95" t="s">
        <v>386</v>
      </c>
      <c r="C372" s="102" t="s">
        <v>502</v>
      </c>
      <c r="D372" s="45" t="s">
        <v>39</v>
      </c>
      <c r="E372" s="96">
        <v>0.71</v>
      </c>
      <c r="F372" s="48">
        <v>621101</v>
      </c>
      <c r="G372" s="49">
        <f>+E372*F372</f>
        <v>440981.70999999996</v>
      </c>
    </row>
    <row r="373" spans="1:7" s="40" customFormat="1" ht="14.25" customHeight="1" x14ac:dyDescent="0.2">
      <c r="A373" s="95" t="s">
        <v>503</v>
      </c>
      <c r="B373" s="95"/>
      <c r="C373" s="102" t="s">
        <v>504</v>
      </c>
      <c r="D373" s="45" t="s">
        <v>39</v>
      </c>
      <c r="E373" s="96"/>
      <c r="F373" s="97">
        <v>399253</v>
      </c>
      <c r="G373" s="49">
        <f>+E373*F373</f>
        <v>0</v>
      </c>
    </row>
    <row r="374" spans="1:7" s="40" customFormat="1" ht="14.25" customHeight="1" x14ac:dyDescent="0.2">
      <c r="A374" s="108"/>
      <c r="B374" s="108"/>
      <c r="C374" s="43"/>
      <c r="D374" s="45"/>
      <c r="E374" s="38"/>
      <c r="F374" s="97"/>
      <c r="G374" s="49"/>
    </row>
    <row r="375" spans="1:7" s="40" customFormat="1" ht="14.25" customHeight="1" x14ac:dyDescent="0.2">
      <c r="A375" s="95">
        <v>12.4</v>
      </c>
      <c r="B375" s="95"/>
      <c r="C375" s="42" t="s">
        <v>60</v>
      </c>
      <c r="D375" s="45"/>
      <c r="E375" s="179"/>
      <c r="F375" s="167"/>
      <c r="G375" s="49"/>
    </row>
    <row r="376" spans="1:7" s="40" customFormat="1" ht="12.75" x14ac:dyDescent="0.2">
      <c r="A376" s="95" t="s">
        <v>505</v>
      </c>
      <c r="B376" s="95" t="s">
        <v>62</v>
      </c>
      <c r="C376" s="43" t="s">
        <v>63</v>
      </c>
      <c r="D376" s="45" t="s">
        <v>64</v>
      </c>
      <c r="E376" s="44">
        <f>+(E370+E371+E372)*100</f>
        <v>114.81249999999999</v>
      </c>
      <c r="F376" s="97">
        <v>4259</v>
      </c>
      <c r="G376" s="49">
        <f>+E376*F376</f>
        <v>488986.43749999994</v>
      </c>
    </row>
    <row r="377" spans="1:7" s="40" customFormat="1" ht="15.75" customHeight="1" x14ac:dyDescent="0.2">
      <c r="A377" s="108"/>
      <c r="B377" s="108"/>
      <c r="C377" s="43"/>
      <c r="D377" s="167"/>
      <c r="E377" s="38"/>
      <c r="F377" s="167"/>
      <c r="G377" s="49"/>
    </row>
    <row r="378" spans="1:7" s="40" customFormat="1" ht="14.25" customHeight="1" x14ac:dyDescent="0.2">
      <c r="A378" s="95">
        <v>12.5</v>
      </c>
      <c r="B378" s="95"/>
      <c r="C378" s="42" t="s">
        <v>389</v>
      </c>
      <c r="D378" s="167"/>
      <c r="E378" s="179"/>
      <c r="F378" s="167"/>
      <c r="G378" s="49"/>
    </row>
    <row r="379" spans="1:7" s="40" customFormat="1" ht="12.75" x14ac:dyDescent="0.2">
      <c r="A379" s="95" t="s">
        <v>506</v>
      </c>
      <c r="B379" s="95" t="s">
        <v>356</v>
      </c>
      <c r="C379" s="43" t="s">
        <v>357</v>
      </c>
      <c r="D379" s="97" t="s">
        <v>26</v>
      </c>
      <c r="E379" s="96">
        <f>16.68+10.04+18.07</f>
        <v>44.79</v>
      </c>
      <c r="F379" s="48">
        <v>49725</v>
      </c>
      <c r="G379" s="49">
        <f>+E379*F379</f>
        <v>2227182.75</v>
      </c>
    </row>
    <row r="380" spans="1:7" s="40" customFormat="1" ht="12.75" x14ac:dyDescent="0.2">
      <c r="A380" s="95" t="s">
        <v>507</v>
      </c>
      <c r="B380" s="95" t="s">
        <v>392</v>
      </c>
      <c r="C380" s="43" t="s">
        <v>508</v>
      </c>
      <c r="D380" s="97" t="s">
        <v>26</v>
      </c>
      <c r="E380" s="96">
        <f>+E357*1.3</f>
        <v>35.814999999999998</v>
      </c>
      <c r="F380" s="97">
        <v>66431</v>
      </c>
      <c r="G380" s="49">
        <f>+E380*F380</f>
        <v>2379226.2649999997</v>
      </c>
    </row>
    <row r="381" spans="1:7" s="40" customFormat="1" ht="14.25" customHeight="1" x14ac:dyDescent="0.2">
      <c r="A381" s="95" t="s">
        <v>509</v>
      </c>
      <c r="B381" s="95" t="s">
        <v>359</v>
      </c>
      <c r="C381" s="104" t="s">
        <v>360</v>
      </c>
      <c r="D381" s="97" t="s">
        <v>18</v>
      </c>
      <c r="E381" s="96">
        <f>+E379</f>
        <v>44.79</v>
      </c>
      <c r="F381" s="48">
        <v>11336</v>
      </c>
      <c r="G381" s="49">
        <f>+E381*F381</f>
        <v>507739.44</v>
      </c>
    </row>
    <row r="382" spans="1:7" s="40" customFormat="1" ht="14.25" customHeight="1" x14ac:dyDescent="0.2">
      <c r="A382" s="95" t="s">
        <v>510</v>
      </c>
      <c r="B382" s="95" t="s">
        <v>362</v>
      </c>
      <c r="C382" s="104" t="s">
        <v>363</v>
      </c>
      <c r="D382" s="97" t="s">
        <v>18</v>
      </c>
      <c r="E382" s="96">
        <f>+E379</f>
        <v>44.79</v>
      </c>
      <c r="F382" s="48">
        <v>17973</v>
      </c>
      <c r="G382" s="49">
        <f>+E382*F382</f>
        <v>805010.67</v>
      </c>
    </row>
    <row r="383" spans="1:7" s="40" customFormat="1" ht="14.25" customHeight="1" x14ac:dyDescent="0.2">
      <c r="A383" s="108"/>
      <c r="B383" s="108"/>
      <c r="C383" s="104"/>
      <c r="D383" s="97"/>
      <c r="E383" s="96"/>
      <c r="F383" s="167"/>
      <c r="G383" s="49"/>
    </row>
    <row r="384" spans="1:7" s="40" customFormat="1" ht="12.75" x14ac:dyDescent="0.2">
      <c r="A384" s="95">
        <v>12.6</v>
      </c>
      <c r="B384" s="95"/>
      <c r="C384" s="42" t="s">
        <v>110</v>
      </c>
      <c r="D384" s="97"/>
      <c r="E384" s="103"/>
      <c r="F384" s="167"/>
      <c r="G384" s="49"/>
    </row>
    <row r="385" spans="1:7" s="40" customFormat="1" ht="14.25" customHeight="1" x14ac:dyDescent="0.2">
      <c r="A385" s="95" t="s">
        <v>511</v>
      </c>
      <c r="B385" s="95" t="s">
        <v>512</v>
      </c>
      <c r="C385" s="43" t="s">
        <v>513</v>
      </c>
      <c r="D385" s="97" t="s">
        <v>26</v>
      </c>
      <c r="E385" s="96">
        <v>5</v>
      </c>
      <c r="F385" s="205">
        <v>487703</v>
      </c>
      <c r="G385" s="49">
        <f>+E385*F385</f>
        <v>2438515</v>
      </c>
    </row>
    <row r="386" spans="1:7" s="40" customFormat="1" ht="14.25" customHeight="1" x14ac:dyDescent="0.2">
      <c r="A386" s="95" t="s">
        <v>514</v>
      </c>
      <c r="B386" s="95" t="s">
        <v>515</v>
      </c>
      <c r="C386" s="43" t="s">
        <v>516</v>
      </c>
      <c r="D386" s="97" t="s">
        <v>26</v>
      </c>
      <c r="E386" s="96">
        <v>1</v>
      </c>
      <c r="F386" s="205">
        <v>1173063</v>
      </c>
      <c r="G386" s="49">
        <f>+E386*F386</f>
        <v>1173063</v>
      </c>
    </row>
    <row r="387" spans="1:7" s="40" customFormat="1" ht="14.25" customHeight="1" x14ac:dyDescent="0.2">
      <c r="A387" s="95" t="s">
        <v>517</v>
      </c>
      <c r="B387" s="95" t="s">
        <v>518</v>
      </c>
      <c r="C387" s="43" t="s">
        <v>519</v>
      </c>
      <c r="D387" s="97" t="s">
        <v>26</v>
      </c>
      <c r="E387" s="96">
        <v>1</v>
      </c>
      <c r="F387" s="205">
        <v>469225</v>
      </c>
      <c r="G387" s="49">
        <f>+E387*F387</f>
        <v>469225</v>
      </c>
    </row>
    <row r="388" spans="1:7" s="40" customFormat="1" ht="14.25" customHeight="1" x14ac:dyDescent="0.2">
      <c r="A388" s="108"/>
      <c r="B388" s="108"/>
      <c r="C388" s="117"/>
      <c r="D388" s="167"/>
      <c r="E388" s="103"/>
      <c r="F388" s="167"/>
      <c r="G388" s="114"/>
    </row>
    <row r="389" spans="1:7" s="40" customFormat="1" ht="14.25" customHeight="1" thickBot="1" x14ac:dyDescent="0.25">
      <c r="A389" s="210" t="s">
        <v>30</v>
      </c>
      <c r="B389" s="211"/>
      <c r="C389" s="211"/>
      <c r="D389" s="211"/>
      <c r="E389" s="211"/>
      <c r="F389" s="212"/>
      <c r="G389" s="87">
        <f>SUM(G357:G388)</f>
        <v>19308622.164375</v>
      </c>
    </row>
    <row r="390" spans="1:7" s="40" customFormat="1" ht="12.75" x14ac:dyDescent="0.2">
      <c r="A390" s="228" t="s">
        <v>520</v>
      </c>
      <c r="B390" s="214"/>
      <c r="C390" s="214"/>
      <c r="D390" s="118"/>
      <c r="E390" s="119"/>
      <c r="F390" s="118"/>
      <c r="G390" s="120"/>
    </row>
    <row r="391" spans="1:7" s="40" customFormat="1" ht="12.75" x14ac:dyDescent="0.2">
      <c r="A391" s="47"/>
      <c r="B391" s="185"/>
      <c r="C391" s="43"/>
      <c r="D391" s="45"/>
      <c r="E391" s="44"/>
      <c r="F391" s="48"/>
      <c r="G391" s="46"/>
    </row>
    <row r="392" spans="1:7" s="40" customFormat="1" ht="12.75" customHeight="1" x14ac:dyDescent="0.2">
      <c r="A392" s="52">
        <v>13.1</v>
      </c>
      <c r="B392" s="182"/>
      <c r="C392" s="219" t="s">
        <v>78</v>
      </c>
      <c r="D392" s="220"/>
      <c r="E392" s="220"/>
      <c r="F392" s="220"/>
      <c r="G392" s="255"/>
    </row>
    <row r="393" spans="1:7" s="40" customFormat="1" ht="12.75" x14ac:dyDescent="0.2">
      <c r="A393" s="52" t="s">
        <v>521</v>
      </c>
      <c r="B393" s="185" t="s">
        <v>522</v>
      </c>
      <c r="C393" s="43" t="s">
        <v>523</v>
      </c>
      <c r="D393" s="45" t="s">
        <v>22</v>
      </c>
      <c r="E393" s="44">
        <v>2.65</v>
      </c>
      <c r="F393" s="48">
        <v>31969</v>
      </c>
      <c r="G393" s="46">
        <f t="shared" ref="G393:G398" si="15">+E393*F393</f>
        <v>84717.849999999991</v>
      </c>
    </row>
    <row r="394" spans="1:7" s="40" customFormat="1" ht="12.75" x14ac:dyDescent="0.2">
      <c r="A394" s="52" t="s">
        <v>524</v>
      </c>
      <c r="B394" s="185" t="s">
        <v>255</v>
      </c>
      <c r="C394" s="43" t="s">
        <v>525</v>
      </c>
      <c r="D394" s="45" t="s">
        <v>26</v>
      </c>
      <c r="E394" s="44">
        <v>1</v>
      </c>
      <c r="F394" s="48">
        <v>162934</v>
      </c>
      <c r="G394" s="46">
        <f t="shared" si="15"/>
        <v>162934</v>
      </c>
    </row>
    <row r="395" spans="1:7" s="40" customFormat="1" ht="12.75" x14ac:dyDescent="0.2">
      <c r="A395" s="52" t="s">
        <v>526</v>
      </c>
      <c r="B395" s="185" t="s">
        <v>527</v>
      </c>
      <c r="C395" s="43" t="s">
        <v>528</v>
      </c>
      <c r="D395" s="45" t="s">
        <v>26</v>
      </c>
      <c r="E395" s="70">
        <v>1</v>
      </c>
      <c r="F395" s="48">
        <v>832637</v>
      </c>
      <c r="G395" s="46">
        <f t="shared" si="15"/>
        <v>832637</v>
      </c>
    </row>
    <row r="396" spans="1:7" s="40" customFormat="1" ht="12.75" x14ac:dyDescent="0.2">
      <c r="A396" s="52" t="s">
        <v>529</v>
      </c>
      <c r="B396" s="185" t="s">
        <v>530</v>
      </c>
      <c r="C396" s="43" t="s">
        <v>531</v>
      </c>
      <c r="D396" s="45" t="s">
        <v>22</v>
      </c>
      <c r="E396" s="80">
        <v>8.6</v>
      </c>
      <c r="F396" s="48">
        <v>57415</v>
      </c>
      <c r="G396" s="46">
        <f t="shared" si="15"/>
        <v>493769</v>
      </c>
    </row>
    <row r="397" spans="1:7" s="40" customFormat="1" ht="12.75" x14ac:dyDescent="0.2">
      <c r="A397" s="52" t="s">
        <v>532</v>
      </c>
      <c r="B397" s="185" t="s">
        <v>533</v>
      </c>
      <c r="C397" s="43" t="s">
        <v>534</v>
      </c>
      <c r="D397" s="45" t="s">
        <v>26</v>
      </c>
      <c r="E397" s="80">
        <v>3</v>
      </c>
      <c r="F397" s="48">
        <v>209200</v>
      </c>
      <c r="G397" s="46">
        <f t="shared" si="15"/>
        <v>627600</v>
      </c>
    </row>
    <row r="398" spans="1:7" s="40" customFormat="1" ht="12.75" x14ac:dyDescent="0.2">
      <c r="A398" s="52" t="s">
        <v>535</v>
      </c>
      <c r="B398" s="185" t="s">
        <v>536</v>
      </c>
      <c r="C398" s="43" t="s">
        <v>537</v>
      </c>
      <c r="D398" s="45" t="s">
        <v>26</v>
      </c>
      <c r="E398" s="80">
        <v>1</v>
      </c>
      <c r="F398" s="48">
        <v>1250534</v>
      </c>
      <c r="G398" s="46">
        <f t="shared" si="15"/>
        <v>1250534</v>
      </c>
    </row>
    <row r="399" spans="1:7" s="40" customFormat="1" ht="13.5" thickBot="1" x14ac:dyDescent="0.25">
      <c r="A399" s="210" t="s">
        <v>30</v>
      </c>
      <c r="B399" s="211"/>
      <c r="C399" s="211"/>
      <c r="D399" s="211"/>
      <c r="E399" s="211"/>
      <c r="F399" s="212"/>
      <c r="G399" s="46">
        <f>SUM(G391:G398)</f>
        <v>3452191.85</v>
      </c>
    </row>
    <row r="400" spans="1:7" s="40" customFormat="1" ht="12.75" x14ac:dyDescent="0.2">
      <c r="A400" s="228" t="s">
        <v>538</v>
      </c>
      <c r="B400" s="214"/>
      <c r="C400" s="215"/>
      <c r="D400" s="121"/>
      <c r="E400" s="122"/>
      <c r="F400" s="121"/>
      <c r="G400" s="120"/>
    </row>
    <row r="401" spans="1:7" s="40" customFormat="1" ht="12.75" x14ac:dyDescent="0.2">
      <c r="A401" s="52"/>
      <c r="B401" s="185"/>
      <c r="C401" s="43"/>
      <c r="D401" s="45"/>
      <c r="E401" s="44"/>
      <c r="F401" s="48"/>
      <c r="G401" s="46"/>
    </row>
    <row r="402" spans="1:7" s="40" customFormat="1" ht="12.75" x14ac:dyDescent="0.2">
      <c r="A402" s="52">
        <v>14.1</v>
      </c>
      <c r="B402" s="182"/>
      <c r="C402" s="219" t="s">
        <v>78</v>
      </c>
      <c r="D402" s="220"/>
      <c r="E402" s="221"/>
      <c r="F402" s="48"/>
      <c r="G402" s="46"/>
    </row>
    <row r="403" spans="1:7" s="40" customFormat="1" ht="12.75" x14ac:dyDescent="0.2">
      <c r="A403" s="52" t="s">
        <v>539</v>
      </c>
      <c r="B403" s="185" t="s">
        <v>522</v>
      </c>
      <c r="C403" s="43" t="s">
        <v>540</v>
      </c>
      <c r="D403" s="45" t="s">
        <v>22</v>
      </c>
      <c r="E403" s="44">
        <v>4.7</v>
      </c>
      <c r="F403" s="48">
        <v>31969</v>
      </c>
      <c r="G403" s="46">
        <f>+E403*F403</f>
        <v>150254.30000000002</v>
      </c>
    </row>
    <row r="404" spans="1:7" s="40" customFormat="1" ht="12.75" x14ac:dyDescent="0.2">
      <c r="A404" s="52" t="s">
        <v>541</v>
      </c>
      <c r="B404" s="185" t="s">
        <v>255</v>
      </c>
      <c r="C404" s="43" t="s">
        <v>542</v>
      </c>
      <c r="D404" s="45" t="s">
        <v>26</v>
      </c>
      <c r="E404" s="44">
        <v>1</v>
      </c>
      <c r="F404" s="48">
        <v>162934</v>
      </c>
      <c r="G404" s="46">
        <f>+E404*F404</f>
        <v>162934</v>
      </c>
    </row>
    <row r="405" spans="1:7" s="40" customFormat="1" ht="13.5" thickBot="1" x14ac:dyDescent="0.25">
      <c r="A405" s="210" t="s">
        <v>30</v>
      </c>
      <c r="B405" s="211"/>
      <c r="C405" s="211"/>
      <c r="D405" s="211"/>
      <c r="E405" s="211"/>
      <c r="F405" s="212"/>
      <c r="G405" s="46">
        <f>SUM(G400:G404)</f>
        <v>313188.30000000005</v>
      </c>
    </row>
    <row r="406" spans="1:7" s="40" customFormat="1" ht="12.75" x14ac:dyDescent="0.2">
      <c r="A406" s="228" t="s">
        <v>543</v>
      </c>
      <c r="B406" s="214"/>
      <c r="C406" s="215"/>
      <c r="D406" s="118"/>
      <c r="E406" s="119"/>
      <c r="F406" s="118"/>
      <c r="G406" s="120"/>
    </row>
    <row r="407" spans="1:7" s="40" customFormat="1" ht="12.75" x14ac:dyDescent="0.2">
      <c r="A407" s="47"/>
      <c r="B407" s="185"/>
      <c r="C407" s="43"/>
      <c r="D407" s="45"/>
      <c r="E407" s="44"/>
      <c r="F407" s="48"/>
      <c r="G407" s="46"/>
    </row>
    <row r="408" spans="1:7" s="40" customFormat="1" ht="14.25" customHeight="1" x14ac:dyDescent="0.2">
      <c r="A408" s="52">
        <v>15.1</v>
      </c>
      <c r="B408" s="185"/>
      <c r="C408" s="42" t="s">
        <v>32</v>
      </c>
      <c r="D408" s="45"/>
      <c r="E408" s="44"/>
      <c r="F408" s="48"/>
      <c r="G408" s="46"/>
    </row>
    <row r="409" spans="1:7" s="40" customFormat="1" ht="14.25" customHeight="1" x14ac:dyDescent="0.2">
      <c r="A409" s="47" t="s">
        <v>544</v>
      </c>
      <c r="B409" s="185" t="s">
        <v>34</v>
      </c>
      <c r="C409" s="43" t="s">
        <v>35</v>
      </c>
      <c r="D409" s="45" t="s">
        <v>18</v>
      </c>
      <c r="E409" s="44">
        <v>262</v>
      </c>
      <c r="F409" s="48">
        <v>5498</v>
      </c>
      <c r="G409" s="46">
        <f>+E409*F409</f>
        <v>1440476</v>
      </c>
    </row>
    <row r="410" spans="1:7" s="40" customFormat="1" ht="12.75" x14ac:dyDescent="0.2">
      <c r="A410" s="47" t="s">
        <v>545</v>
      </c>
      <c r="B410" s="185" t="s">
        <v>37</v>
      </c>
      <c r="C410" s="43" t="s">
        <v>90</v>
      </c>
      <c r="D410" s="45" t="s">
        <v>39</v>
      </c>
      <c r="E410" s="44">
        <v>35.75</v>
      </c>
      <c r="F410" s="48">
        <v>20317</v>
      </c>
      <c r="G410" s="46">
        <f t="shared" ref="G410:G424" si="16">+E410*F410</f>
        <v>726332.75</v>
      </c>
    </row>
    <row r="411" spans="1:7" s="69" customFormat="1" ht="14.25" customHeight="1" x14ac:dyDescent="0.2">
      <c r="A411" s="63"/>
      <c r="B411" s="184"/>
      <c r="C411" s="64"/>
      <c r="D411" s="65"/>
      <c r="E411" s="66"/>
      <c r="F411" s="67"/>
      <c r="G411" s="68"/>
    </row>
    <row r="412" spans="1:7" s="40" customFormat="1" ht="14.25" customHeight="1" x14ac:dyDescent="0.2">
      <c r="A412" s="52">
        <v>15.2</v>
      </c>
      <c r="B412" s="185"/>
      <c r="C412" s="42" t="s">
        <v>43</v>
      </c>
      <c r="D412" s="45"/>
      <c r="E412" s="44"/>
      <c r="F412" s="48"/>
      <c r="G412" s="46"/>
    </row>
    <row r="413" spans="1:7" s="40" customFormat="1" ht="14.25" customHeight="1" x14ac:dyDescent="0.2">
      <c r="A413" s="47" t="s">
        <v>546</v>
      </c>
      <c r="B413" s="185" t="s">
        <v>45</v>
      </c>
      <c r="C413" s="43" t="s">
        <v>46</v>
      </c>
      <c r="D413" s="45" t="s">
        <v>39</v>
      </c>
      <c r="E413" s="44">
        <v>105.95200000000001</v>
      </c>
      <c r="F413" s="48">
        <v>18202</v>
      </c>
      <c r="G413" s="46">
        <f t="shared" si="16"/>
        <v>1928538.3040000002</v>
      </c>
    </row>
    <row r="414" spans="1:7" s="69" customFormat="1" ht="14.25" customHeight="1" x14ac:dyDescent="0.2">
      <c r="A414" s="63"/>
      <c r="B414" s="184"/>
      <c r="C414" s="64"/>
      <c r="D414" s="65"/>
      <c r="E414" s="66"/>
      <c r="F414" s="67"/>
      <c r="G414" s="68"/>
    </row>
    <row r="415" spans="1:7" s="40" customFormat="1" ht="14.25" customHeight="1" x14ac:dyDescent="0.2">
      <c r="A415" s="52">
        <v>15.3</v>
      </c>
      <c r="B415" s="185"/>
      <c r="C415" s="42" t="s">
        <v>47</v>
      </c>
      <c r="D415" s="45"/>
      <c r="E415" s="44"/>
      <c r="F415" s="48"/>
      <c r="G415" s="46"/>
    </row>
    <row r="416" spans="1:7" s="40" customFormat="1" ht="14.25" customHeight="1" x14ac:dyDescent="0.2">
      <c r="A416" s="47" t="s">
        <v>547</v>
      </c>
      <c r="B416" s="185" t="s">
        <v>49</v>
      </c>
      <c r="C416" s="43" t="s">
        <v>50</v>
      </c>
      <c r="D416" s="45" t="s">
        <v>39</v>
      </c>
      <c r="E416" s="44">
        <v>2.258</v>
      </c>
      <c r="F416" s="48">
        <v>291746</v>
      </c>
      <c r="G416" s="46">
        <f t="shared" si="16"/>
        <v>658762.46799999999</v>
      </c>
    </row>
    <row r="417" spans="1:7" s="40" customFormat="1" ht="14.25" customHeight="1" x14ac:dyDescent="0.2">
      <c r="A417" s="47" t="s">
        <v>548</v>
      </c>
      <c r="B417" s="185" t="s">
        <v>52</v>
      </c>
      <c r="C417" s="43" t="s">
        <v>549</v>
      </c>
      <c r="D417" s="45" t="s">
        <v>39</v>
      </c>
      <c r="E417" s="44">
        <v>5.879999999999999</v>
      </c>
      <c r="F417" s="48">
        <v>739963</v>
      </c>
      <c r="G417" s="46">
        <f t="shared" si="16"/>
        <v>4350982.4399999995</v>
      </c>
    </row>
    <row r="418" spans="1:7" s="40" customFormat="1" ht="14.25" customHeight="1" x14ac:dyDescent="0.2">
      <c r="A418" s="47" t="s">
        <v>550</v>
      </c>
      <c r="B418" s="185" t="s">
        <v>55</v>
      </c>
      <c r="C418" s="43" t="s">
        <v>551</v>
      </c>
      <c r="D418" s="45" t="s">
        <v>39</v>
      </c>
      <c r="E418" s="44">
        <v>8.3500000000000014</v>
      </c>
      <c r="F418" s="48">
        <v>770156</v>
      </c>
      <c r="G418" s="46">
        <f t="shared" si="16"/>
        <v>6430802.6000000015</v>
      </c>
    </row>
    <row r="419" spans="1:7" s="40" customFormat="1" ht="14.25" customHeight="1" x14ac:dyDescent="0.2">
      <c r="A419" s="47" t="s">
        <v>552</v>
      </c>
      <c r="B419" s="185" t="s">
        <v>52</v>
      </c>
      <c r="C419" s="43" t="s">
        <v>553</v>
      </c>
      <c r="D419" s="45" t="s">
        <v>39</v>
      </c>
      <c r="E419" s="44">
        <v>1.2500000000000002E-2</v>
      </c>
      <c r="F419" s="48">
        <f>+F421</f>
        <v>739963</v>
      </c>
      <c r="G419" s="46">
        <f t="shared" si="16"/>
        <v>9249.5375000000022</v>
      </c>
    </row>
    <row r="420" spans="1:7" s="40" customFormat="1" ht="14.25" customHeight="1" x14ac:dyDescent="0.2">
      <c r="A420" s="47" t="s">
        <v>554</v>
      </c>
      <c r="B420" s="185" t="s">
        <v>55</v>
      </c>
      <c r="C420" s="43" t="s">
        <v>56</v>
      </c>
      <c r="D420" s="45" t="s">
        <v>39</v>
      </c>
      <c r="E420" s="44">
        <v>3.762</v>
      </c>
      <c r="F420" s="48">
        <v>770156</v>
      </c>
      <c r="G420" s="46">
        <f t="shared" si="16"/>
        <v>2897326.872</v>
      </c>
    </row>
    <row r="421" spans="1:7" s="40" customFormat="1" ht="14.25" customHeight="1" x14ac:dyDescent="0.2">
      <c r="A421" s="47" t="s">
        <v>555</v>
      </c>
      <c r="B421" s="185" t="s">
        <v>52</v>
      </c>
      <c r="C421" s="43" t="s">
        <v>556</v>
      </c>
      <c r="D421" s="45" t="s">
        <v>39</v>
      </c>
      <c r="E421" s="44">
        <v>17.716000000000001</v>
      </c>
      <c r="F421" s="48">
        <v>739963</v>
      </c>
      <c r="G421" s="46">
        <f t="shared" si="16"/>
        <v>13109184.508000001</v>
      </c>
    </row>
    <row r="422" spans="1:7" s="69" customFormat="1" ht="14.25" customHeight="1" x14ac:dyDescent="0.2">
      <c r="A422" s="63"/>
      <c r="B422" s="184"/>
      <c r="C422" s="64"/>
      <c r="D422" s="65"/>
      <c r="E422" s="66"/>
      <c r="F422" s="67"/>
      <c r="G422" s="68"/>
    </row>
    <row r="423" spans="1:7" s="40" customFormat="1" ht="14.25" customHeight="1" x14ac:dyDescent="0.2">
      <c r="A423" s="52">
        <v>15.4</v>
      </c>
      <c r="B423" s="185"/>
      <c r="C423" s="42" t="s">
        <v>60</v>
      </c>
      <c r="D423" s="45"/>
      <c r="E423" s="44"/>
      <c r="F423" s="48"/>
      <c r="G423" s="46"/>
    </row>
    <row r="424" spans="1:7" s="40" customFormat="1" ht="12.75" x14ac:dyDescent="0.2">
      <c r="A424" s="47" t="s">
        <v>557</v>
      </c>
      <c r="B424" s="185" t="s">
        <v>62</v>
      </c>
      <c r="C424" s="43" t="s">
        <v>63</v>
      </c>
      <c r="D424" s="45" t="s">
        <v>64</v>
      </c>
      <c r="E424" s="44">
        <v>1779</v>
      </c>
      <c r="F424" s="48">
        <v>4259</v>
      </c>
      <c r="G424" s="46">
        <f t="shared" si="16"/>
        <v>7576761</v>
      </c>
    </row>
    <row r="425" spans="1:7" s="69" customFormat="1" ht="14.25" customHeight="1" x14ac:dyDescent="0.2">
      <c r="A425" s="123"/>
      <c r="B425" s="192"/>
      <c r="C425" s="225"/>
      <c r="D425" s="226"/>
      <c r="E425" s="227"/>
      <c r="F425" s="67"/>
      <c r="G425" s="68"/>
    </row>
    <row r="426" spans="1:7" s="40" customFormat="1" ht="14.25" customHeight="1" x14ac:dyDescent="0.2">
      <c r="A426" s="52">
        <v>15.5</v>
      </c>
      <c r="B426" s="182"/>
      <c r="C426" s="166" t="s">
        <v>558</v>
      </c>
      <c r="D426" s="165"/>
      <c r="E426" s="124"/>
      <c r="F426" s="48"/>
      <c r="G426" s="46"/>
    </row>
    <row r="427" spans="1:7" s="40" customFormat="1" ht="12.75" x14ac:dyDescent="0.2">
      <c r="A427" s="52" t="s">
        <v>559</v>
      </c>
      <c r="B427" s="185" t="s">
        <v>356</v>
      </c>
      <c r="C427" s="43" t="s">
        <v>357</v>
      </c>
      <c r="D427" s="45" t="s">
        <v>18</v>
      </c>
      <c r="E427" s="44">
        <v>110.952</v>
      </c>
      <c r="F427" s="48">
        <v>49725</v>
      </c>
      <c r="G427" s="46">
        <f>+E427*F427</f>
        <v>5517088.2000000002</v>
      </c>
    </row>
    <row r="428" spans="1:7" s="40" customFormat="1" ht="14.25" customHeight="1" x14ac:dyDescent="0.2">
      <c r="A428" s="52" t="s">
        <v>560</v>
      </c>
      <c r="B428" s="185" t="s">
        <v>365</v>
      </c>
      <c r="C428" s="43" t="s">
        <v>366</v>
      </c>
      <c r="D428" s="45" t="s">
        <v>18</v>
      </c>
      <c r="E428" s="44">
        <v>213.31520000000003</v>
      </c>
      <c r="F428" s="48">
        <v>96116</v>
      </c>
      <c r="G428" s="46">
        <f>+E428*F428</f>
        <v>20503003.763200004</v>
      </c>
    </row>
    <row r="429" spans="1:7" s="40" customFormat="1" ht="14.25" customHeight="1" x14ac:dyDescent="0.2">
      <c r="A429" s="52" t="s">
        <v>561</v>
      </c>
      <c r="B429" s="185" t="s">
        <v>562</v>
      </c>
      <c r="C429" s="43" t="s">
        <v>563</v>
      </c>
      <c r="D429" s="45" t="s">
        <v>18</v>
      </c>
      <c r="E429" s="44">
        <f>+E427*0.5</f>
        <v>55.475999999999999</v>
      </c>
      <c r="F429" s="48">
        <v>58187</v>
      </c>
      <c r="G429" s="46">
        <f>+E429*F429</f>
        <v>3227982.0120000001</v>
      </c>
    </row>
    <row r="430" spans="1:7" s="69" customFormat="1" ht="14.25" customHeight="1" x14ac:dyDescent="0.2">
      <c r="A430" s="123"/>
      <c r="B430" s="192"/>
      <c r="C430" s="168"/>
      <c r="D430" s="169"/>
      <c r="E430" s="125"/>
      <c r="F430" s="67"/>
      <c r="G430" s="68"/>
    </row>
    <row r="431" spans="1:7" s="40" customFormat="1" ht="14.25" customHeight="1" x14ac:dyDescent="0.2">
      <c r="A431" s="52">
        <v>15.6</v>
      </c>
      <c r="B431" s="182"/>
      <c r="C431" s="166" t="s">
        <v>564</v>
      </c>
      <c r="D431" s="165"/>
      <c r="E431" s="124"/>
      <c r="F431" s="48"/>
      <c r="G431" s="46"/>
    </row>
    <row r="432" spans="1:7" s="40" customFormat="1" ht="14.25" customHeight="1" x14ac:dyDescent="0.2">
      <c r="A432" s="52" t="s">
        <v>565</v>
      </c>
      <c r="B432" s="185" t="s">
        <v>566</v>
      </c>
      <c r="C432" s="43" t="s">
        <v>567</v>
      </c>
      <c r="D432" s="45" t="s">
        <v>39</v>
      </c>
      <c r="E432" s="44">
        <v>88.425000000000011</v>
      </c>
      <c r="F432" s="48">
        <v>72987</v>
      </c>
      <c r="G432" s="46">
        <f>+E432*F432</f>
        <v>6453875.4750000006</v>
      </c>
    </row>
    <row r="433" spans="1:7" s="40" customFormat="1" ht="14.25" customHeight="1" x14ac:dyDescent="0.2">
      <c r="A433" s="52" t="s">
        <v>568</v>
      </c>
      <c r="B433" s="185" t="s">
        <v>569</v>
      </c>
      <c r="C433" s="43" t="s">
        <v>570</v>
      </c>
      <c r="D433" s="45" t="s">
        <v>39</v>
      </c>
      <c r="E433" s="44">
        <v>75.325000000000003</v>
      </c>
      <c r="F433" s="48">
        <v>98298</v>
      </c>
      <c r="G433" s="46">
        <f>+E433*F433</f>
        <v>7404296.8500000006</v>
      </c>
    </row>
    <row r="434" spans="1:7" s="69" customFormat="1" ht="14.25" customHeight="1" x14ac:dyDescent="0.2">
      <c r="A434" s="123"/>
      <c r="B434" s="192"/>
      <c r="C434" s="168"/>
      <c r="D434" s="169"/>
      <c r="E434" s="125"/>
      <c r="F434" s="67"/>
      <c r="G434" s="68"/>
    </row>
    <row r="435" spans="1:7" s="40" customFormat="1" ht="14.25" customHeight="1" x14ac:dyDescent="0.2">
      <c r="A435" s="52">
        <v>15.7</v>
      </c>
      <c r="B435" s="182"/>
      <c r="C435" s="219" t="s">
        <v>571</v>
      </c>
      <c r="D435" s="220"/>
      <c r="E435" s="221"/>
      <c r="F435" s="48"/>
      <c r="G435" s="46"/>
    </row>
    <row r="436" spans="1:7" s="40" customFormat="1" ht="14.25" customHeight="1" x14ac:dyDescent="0.2">
      <c r="A436" s="52" t="s">
        <v>572</v>
      </c>
      <c r="B436" s="185" t="s">
        <v>261</v>
      </c>
      <c r="C436" s="43" t="s">
        <v>573</v>
      </c>
      <c r="D436" s="45" t="s">
        <v>26</v>
      </c>
      <c r="E436" s="44">
        <v>10</v>
      </c>
      <c r="F436" s="48">
        <v>224313</v>
      </c>
      <c r="G436" s="46">
        <f t="shared" ref="G436:G441" si="17">+E436*F436</f>
        <v>2243130</v>
      </c>
    </row>
    <row r="437" spans="1:7" s="40" customFormat="1" ht="14.25" customHeight="1" x14ac:dyDescent="0.2">
      <c r="A437" s="52" t="s">
        <v>574</v>
      </c>
      <c r="B437" s="185" t="s">
        <v>85</v>
      </c>
      <c r="C437" s="43" t="s">
        <v>575</v>
      </c>
      <c r="D437" s="45" t="s">
        <v>26</v>
      </c>
      <c r="E437" s="44">
        <v>50</v>
      </c>
      <c r="F437" s="48">
        <v>21955</v>
      </c>
      <c r="G437" s="46">
        <f t="shared" si="17"/>
        <v>1097750</v>
      </c>
    </row>
    <row r="438" spans="1:7" s="40" customFormat="1" ht="14.25" customHeight="1" x14ac:dyDescent="0.2">
      <c r="A438" s="52" t="s">
        <v>576</v>
      </c>
      <c r="B438" s="185" t="s">
        <v>255</v>
      </c>
      <c r="C438" s="43" t="s">
        <v>577</v>
      </c>
      <c r="D438" s="45" t="s">
        <v>26</v>
      </c>
      <c r="E438" s="44">
        <v>20</v>
      </c>
      <c r="F438" s="48">
        <v>162934</v>
      </c>
      <c r="G438" s="46">
        <f t="shared" si="17"/>
        <v>3258680</v>
      </c>
    </row>
    <row r="439" spans="1:7" s="40" customFormat="1" ht="14.25" customHeight="1" x14ac:dyDescent="0.2">
      <c r="A439" s="52" t="s">
        <v>578</v>
      </c>
      <c r="B439" s="185" t="s">
        <v>249</v>
      </c>
      <c r="C439" s="43" t="s">
        <v>579</v>
      </c>
      <c r="D439" s="45" t="s">
        <v>26</v>
      </c>
      <c r="E439" s="44">
        <v>10</v>
      </c>
      <c r="F439" s="48">
        <v>236278</v>
      </c>
      <c r="G439" s="46">
        <f t="shared" si="17"/>
        <v>2362780</v>
      </c>
    </row>
    <row r="440" spans="1:7" s="40" customFormat="1" ht="14.25" customHeight="1" x14ac:dyDescent="0.2">
      <c r="A440" s="52" t="s">
        <v>580</v>
      </c>
      <c r="B440" s="185" t="s">
        <v>522</v>
      </c>
      <c r="C440" s="43" t="s">
        <v>581</v>
      </c>
      <c r="D440" s="45" t="s">
        <v>582</v>
      </c>
      <c r="E440" s="44">
        <v>44.12</v>
      </c>
      <c r="F440" s="48">
        <v>31969</v>
      </c>
      <c r="G440" s="46">
        <f t="shared" si="17"/>
        <v>1410472.28</v>
      </c>
    </row>
    <row r="441" spans="1:7" s="40" customFormat="1" ht="14.25" customHeight="1" x14ac:dyDescent="0.2">
      <c r="A441" s="52" t="s">
        <v>583</v>
      </c>
      <c r="B441" s="185" t="s">
        <v>584</v>
      </c>
      <c r="C441" s="43" t="s">
        <v>585</v>
      </c>
      <c r="D441" s="45" t="s">
        <v>582</v>
      </c>
      <c r="E441" s="44">
        <v>199.59999999999997</v>
      </c>
      <c r="F441" s="48">
        <v>36385</v>
      </c>
      <c r="G441" s="46">
        <f t="shared" si="17"/>
        <v>7262445.9999999991</v>
      </c>
    </row>
    <row r="442" spans="1:7" s="69" customFormat="1" ht="14.25" customHeight="1" x14ac:dyDescent="0.2">
      <c r="A442" s="206"/>
      <c r="B442" s="207"/>
      <c r="C442" s="126"/>
      <c r="D442" s="127"/>
      <c r="E442" s="128"/>
      <c r="F442" s="129"/>
      <c r="G442" s="68"/>
    </row>
    <row r="443" spans="1:7" s="40" customFormat="1" ht="27" customHeight="1" x14ac:dyDescent="0.2">
      <c r="A443" s="130">
        <v>15.8</v>
      </c>
      <c r="B443" s="181"/>
      <c r="C443" s="219" t="s">
        <v>78</v>
      </c>
      <c r="D443" s="220"/>
      <c r="E443" s="221"/>
      <c r="F443" s="51"/>
      <c r="G443" s="46"/>
    </row>
    <row r="444" spans="1:7" s="40" customFormat="1" ht="14.25" customHeight="1" x14ac:dyDescent="0.2">
      <c r="A444" s="130" t="s">
        <v>586</v>
      </c>
      <c r="B444" s="181" t="s">
        <v>530</v>
      </c>
      <c r="C444" s="43" t="s">
        <v>587</v>
      </c>
      <c r="D444" s="79" t="s">
        <v>22</v>
      </c>
      <c r="E444" s="80">
        <v>18.25</v>
      </c>
      <c r="F444" s="51">
        <v>57415</v>
      </c>
      <c r="G444" s="46">
        <f>+E444*F444</f>
        <v>1047823.75</v>
      </c>
    </row>
    <row r="445" spans="1:7" s="40" customFormat="1" ht="14.25" customHeight="1" thickBot="1" x14ac:dyDescent="0.25">
      <c r="A445" s="210" t="s">
        <v>30</v>
      </c>
      <c r="B445" s="211"/>
      <c r="C445" s="211"/>
      <c r="D445" s="211"/>
      <c r="E445" s="211"/>
      <c r="F445" s="212"/>
      <c r="G445" s="46">
        <f>SUM(G407:G444)</f>
        <v>100917744.8097</v>
      </c>
    </row>
    <row r="446" spans="1:7" s="40" customFormat="1" ht="14.25" customHeight="1" x14ac:dyDescent="0.2">
      <c r="A446" s="216" t="s">
        <v>588</v>
      </c>
      <c r="B446" s="217"/>
      <c r="C446" s="217"/>
      <c r="D446" s="217"/>
      <c r="E446" s="217"/>
      <c r="F446" s="217"/>
      <c r="G446" s="218"/>
    </row>
    <row r="447" spans="1:7" s="40" customFormat="1" ht="14.25" customHeight="1" x14ac:dyDescent="0.2">
      <c r="A447" s="219" t="s">
        <v>589</v>
      </c>
      <c r="B447" s="220"/>
      <c r="C447" s="220"/>
      <c r="D447" s="220"/>
      <c r="E447" s="220"/>
      <c r="F447" s="220"/>
      <c r="G447" s="221"/>
    </row>
    <row r="448" spans="1:7" s="40" customFormat="1" ht="14.25" customHeight="1" x14ac:dyDescent="0.2">
      <c r="A448" s="110"/>
      <c r="B448" s="110"/>
      <c r="C448" s="110"/>
      <c r="D448" s="110"/>
      <c r="E448" s="38"/>
      <c r="F448" s="110"/>
      <c r="G448" s="49"/>
    </row>
    <row r="449" spans="1:7" s="40" customFormat="1" ht="14.25" customHeight="1" x14ac:dyDescent="0.2">
      <c r="A449" s="130">
        <v>16.100000000000001</v>
      </c>
      <c r="B449" s="110"/>
      <c r="C449" s="220" t="s">
        <v>590</v>
      </c>
      <c r="D449" s="220"/>
      <c r="E449" s="221"/>
      <c r="F449" s="110"/>
      <c r="G449" s="49"/>
    </row>
    <row r="450" spans="1:7" s="40" customFormat="1" ht="12.75" x14ac:dyDescent="0.2">
      <c r="A450" s="130" t="s">
        <v>591</v>
      </c>
      <c r="B450" s="187" t="s">
        <v>592</v>
      </c>
      <c r="C450" s="43" t="s">
        <v>593</v>
      </c>
      <c r="D450" s="45" t="s">
        <v>26</v>
      </c>
      <c r="E450" s="44">
        <v>1</v>
      </c>
      <c r="F450" s="48">
        <v>2862651</v>
      </c>
      <c r="G450" s="46">
        <f>+E450*F450</f>
        <v>2862651</v>
      </c>
    </row>
    <row r="451" spans="1:7" s="40" customFormat="1" ht="12.75" x14ac:dyDescent="0.2">
      <c r="A451" s="130" t="s">
        <v>594</v>
      </c>
      <c r="B451" s="187" t="s">
        <v>595</v>
      </c>
      <c r="C451" s="43" t="s">
        <v>596</v>
      </c>
      <c r="D451" s="45" t="s">
        <v>26</v>
      </c>
      <c r="E451" s="44">
        <v>1</v>
      </c>
      <c r="F451" s="48">
        <v>3972996</v>
      </c>
      <c r="G451" s="46">
        <f t="shared" ref="G451:G494" si="18">+E451*F451</f>
        <v>3972996</v>
      </c>
    </row>
    <row r="452" spans="1:7" s="40" customFormat="1" ht="12.75" x14ac:dyDescent="0.2">
      <c r="A452" s="130" t="s">
        <v>597</v>
      </c>
      <c r="B452" s="187" t="s">
        <v>598</v>
      </c>
      <c r="C452" s="43" t="s">
        <v>599</v>
      </c>
      <c r="D452" s="45" t="s">
        <v>26</v>
      </c>
      <c r="E452" s="44">
        <v>1</v>
      </c>
      <c r="F452" s="48">
        <v>1344784</v>
      </c>
      <c r="G452" s="46">
        <f t="shared" si="18"/>
        <v>1344784</v>
      </c>
    </row>
    <row r="453" spans="1:7" s="40" customFormat="1" ht="12.75" x14ac:dyDescent="0.2">
      <c r="A453" s="130" t="s">
        <v>600</v>
      </c>
      <c r="B453" s="187" t="s">
        <v>601</v>
      </c>
      <c r="C453" s="43" t="s">
        <v>602</v>
      </c>
      <c r="D453" s="45" t="s">
        <v>26</v>
      </c>
      <c r="E453" s="44">
        <v>1</v>
      </c>
      <c r="F453" s="48">
        <v>544524</v>
      </c>
      <c r="G453" s="46">
        <f t="shared" si="18"/>
        <v>544524</v>
      </c>
    </row>
    <row r="454" spans="1:7" s="40" customFormat="1" ht="12.75" x14ac:dyDescent="0.2">
      <c r="A454" s="130" t="s">
        <v>603</v>
      </c>
      <c r="B454" s="187" t="s">
        <v>604</v>
      </c>
      <c r="C454" s="43" t="s">
        <v>605</v>
      </c>
      <c r="D454" s="45" t="s">
        <v>26</v>
      </c>
      <c r="E454" s="44">
        <v>1</v>
      </c>
      <c r="F454" s="48">
        <v>1169720</v>
      </c>
      <c r="G454" s="46">
        <f t="shared" si="18"/>
        <v>1169720</v>
      </c>
    </row>
    <row r="455" spans="1:7" s="40" customFormat="1" ht="12.75" x14ac:dyDescent="0.2">
      <c r="A455" s="130" t="s">
        <v>606</v>
      </c>
      <c r="B455" s="187" t="s">
        <v>607</v>
      </c>
      <c r="C455" s="43" t="s">
        <v>608</v>
      </c>
      <c r="D455" s="45" t="s">
        <v>26</v>
      </c>
      <c r="E455" s="44">
        <v>1</v>
      </c>
      <c r="F455" s="48">
        <v>631919</v>
      </c>
      <c r="G455" s="46">
        <f t="shared" si="18"/>
        <v>631919</v>
      </c>
    </row>
    <row r="456" spans="1:7" s="40" customFormat="1" ht="12.75" x14ac:dyDescent="0.2">
      <c r="A456" s="130" t="s">
        <v>609</v>
      </c>
      <c r="B456" s="187" t="s">
        <v>610</v>
      </c>
      <c r="C456" s="43" t="s">
        <v>611</v>
      </c>
      <c r="D456" s="45" t="s">
        <v>26</v>
      </c>
      <c r="E456" s="44">
        <v>4</v>
      </c>
      <c r="F456" s="48">
        <v>239916</v>
      </c>
      <c r="G456" s="46">
        <f t="shared" si="18"/>
        <v>959664</v>
      </c>
    </row>
    <row r="457" spans="1:7" s="40" customFormat="1" ht="14.25" customHeight="1" x14ac:dyDescent="0.2">
      <c r="A457" s="166"/>
      <c r="B457" s="110"/>
      <c r="C457" s="110"/>
      <c r="D457" s="110"/>
      <c r="E457" s="38"/>
      <c r="F457" s="110"/>
      <c r="G457" s="46"/>
    </row>
    <row r="458" spans="1:7" s="40" customFormat="1" ht="14.25" customHeight="1" x14ac:dyDescent="0.2">
      <c r="A458" s="130">
        <v>16.2</v>
      </c>
      <c r="B458" s="110"/>
      <c r="C458" s="256" t="s">
        <v>612</v>
      </c>
      <c r="D458" s="256"/>
      <c r="E458" s="256"/>
      <c r="F458" s="110"/>
      <c r="G458" s="46"/>
    </row>
    <row r="459" spans="1:7" s="40" customFormat="1" ht="12.75" x14ac:dyDescent="0.2">
      <c r="A459" s="130" t="s">
        <v>613</v>
      </c>
      <c r="B459" s="187" t="s">
        <v>614</v>
      </c>
      <c r="C459" s="43" t="s">
        <v>615</v>
      </c>
      <c r="D459" s="45" t="s">
        <v>582</v>
      </c>
      <c r="E459" s="44">
        <v>220</v>
      </c>
      <c r="F459" s="48">
        <v>2279</v>
      </c>
      <c r="G459" s="46">
        <f t="shared" si="18"/>
        <v>501380</v>
      </c>
    </row>
    <row r="460" spans="1:7" s="40" customFormat="1" ht="25.5" x14ac:dyDescent="0.2">
      <c r="A460" s="130" t="s">
        <v>616</v>
      </c>
      <c r="B460" s="187" t="s">
        <v>617</v>
      </c>
      <c r="C460" s="43" t="s">
        <v>618</v>
      </c>
      <c r="D460" s="45" t="s">
        <v>582</v>
      </c>
      <c r="E460" s="44">
        <v>115</v>
      </c>
      <c r="F460" s="48">
        <v>47052</v>
      </c>
      <c r="G460" s="46">
        <f t="shared" si="18"/>
        <v>5410980</v>
      </c>
    </row>
    <row r="461" spans="1:7" s="40" customFormat="1" ht="14.25" customHeight="1" x14ac:dyDescent="0.2">
      <c r="A461" s="130"/>
      <c r="B461" s="110"/>
      <c r="C461" s="110"/>
      <c r="D461" s="110"/>
      <c r="E461" s="44"/>
      <c r="F461" s="110"/>
      <c r="G461" s="46"/>
    </row>
    <row r="462" spans="1:7" s="40" customFormat="1" ht="14.25" customHeight="1" x14ac:dyDescent="0.2">
      <c r="A462" s="130">
        <v>16.3</v>
      </c>
      <c r="B462" s="110"/>
      <c r="C462" s="256" t="s">
        <v>619</v>
      </c>
      <c r="D462" s="256"/>
      <c r="E462" s="256"/>
      <c r="F462" s="110"/>
      <c r="G462" s="46"/>
    </row>
    <row r="463" spans="1:7" s="40" customFormat="1" ht="25.5" x14ac:dyDescent="0.2">
      <c r="A463" s="130" t="s">
        <v>620</v>
      </c>
      <c r="B463" s="193" t="s">
        <v>621</v>
      </c>
      <c r="C463" s="131" t="s">
        <v>622</v>
      </c>
      <c r="D463" s="132" t="s">
        <v>26</v>
      </c>
      <c r="E463" s="44">
        <v>2</v>
      </c>
      <c r="F463" s="133">
        <v>959161</v>
      </c>
      <c r="G463" s="46">
        <f t="shared" si="18"/>
        <v>1918322</v>
      </c>
    </row>
    <row r="464" spans="1:7" s="40" customFormat="1" ht="25.5" x14ac:dyDescent="0.2">
      <c r="A464" s="130" t="s">
        <v>623</v>
      </c>
      <c r="B464" s="193" t="s">
        <v>624</v>
      </c>
      <c r="C464" s="131" t="s">
        <v>625</v>
      </c>
      <c r="D464" s="132" t="s">
        <v>26</v>
      </c>
      <c r="E464" s="44">
        <v>3</v>
      </c>
      <c r="F464" s="133">
        <v>1207518</v>
      </c>
      <c r="G464" s="46">
        <f t="shared" si="18"/>
        <v>3622554</v>
      </c>
    </row>
    <row r="465" spans="1:7" s="40" customFormat="1" ht="14.25" customHeight="1" x14ac:dyDescent="0.2">
      <c r="A465" s="130"/>
      <c r="B465" s="193"/>
      <c r="C465" s="110"/>
      <c r="D465" s="110"/>
      <c r="E465" s="38"/>
      <c r="F465" s="110"/>
      <c r="G465" s="46"/>
    </row>
    <row r="466" spans="1:7" s="40" customFormat="1" ht="14.25" customHeight="1" x14ac:dyDescent="0.2">
      <c r="A466" s="130">
        <v>16.399999999999999</v>
      </c>
      <c r="B466" s="193"/>
      <c r="C466" s="110" t="s">
        <v>626</v>
      </c>
      <c r="D466" s="110"/>
      <c r="E466" s="38"/>
      <c r="F466" s="110"/>
      <c r="G466" s="46"/>
    </row>
    <row r="467" spans="1:7" s="40" customFormat="1" ht="14.25" customHeight="1" x14ac:dyDescent="0.2">
      <c r="A467" s="130" t="s">
        <v>627</v>
      </c>
      <c r="B467" s="193" t="s">
        <v>628</v>
      </c>
      <c r="C467" s="131" t="s">
        <v>629</v>
      </c>
      <c r="D467" s="132" t="s">
        <v>26</v>
      </c>
      <c r="E467" s="134">
        <v>1</v>
      </c>
      <c r="F467" s="133">
        <v>12409477</v>
      </c>
      <c r="G467" s="46">
        <f t="shared" si="18"/>
        <v>12409477</v>
      </c>
    </row>
    <row r="468" spans="1:7" s="40" customFormat="1" ht="14.25" customHeight="1" x14ac:dyDescent="0.2">
      <c r="A468" s="130"/>
      <c r="B468" s="193"/>
      <c r="C468" s="110"/>
      <c r="D468" s="110"/>
      <c r="E468" s="38"/>
      <c r="F468" s="110"/>
      <c r="G468" s="46"/>
    </row>
    <row r="469" spans="1:7" s="40" customFormat="1" ht="14.25" customHeight="1" x14ac:dyDescent="0.2">
      <c r="A469" s="130">
        <v>16.5</v>
      </c>
      <c r="B469" s="193"/>
      <c r="C469" s="256" t="s">
        <v>630</v>
      </c>
      <c r="D469" s="256"/>
      <c r="E469" s="256"/>
      <c r="F469" s="110"/>
      <c r="G469" s="46"/>
    </row>
    <row r="470" spans="1:7" s="40" customFormat="1" ht="25.5" x14ac:dyDescent="0.2">
      <c r="A470" s="130" t="s">
        <v>631</v>
      </c>
      <c r="B470" s="193" t="s">
        <v>632</v>
      </c>
      <c r="C470" s="131" t="s">
        <v>633</v>
      </c>
      <c r="D470" s="132" t="s">
        <v>582</v>
      </c>
      <c r="E470" s="134">
        <v>31</v>
      </c>
      <c r="F470" s="133">
        <v>89180</v>
      </c>
      <c r="G470" s="46">
        <f t="shared" si="18"/>
        <v>2764580</v>
      </c>
    </row>
    <row r="471" spans="1:7" s="40" customFormat="1" ht="25.5" x14ac:dyDescent="0.2">
      <c r="A471" s="130" t="s">
        <v>634</v>
      </c>
      <c r="B471" s="193" t="s">
        <v>635</v>
      </c>
      <c r="C471" s="131" t="s">
        <v>636</v>
      </c>
      <c r="D471" s="132" t="s">
        <v>582</v>
      </c>
      <c r="E471" s="134">
        <v>145</v>
      </c>
      <c r="F471" s="133">
        <v>23154</v>
      </c>
      <c r="G471" s="46">
        <f t="shared" si="18"/>
        <v>3357330</v>
      </c>
    </row>
    <row r="472" spans="1:7" s="40" customFormat="1" ht="12.75" x14ac:dyDescent="0.2">
      <c r="A472" s="130" t="s">
        <v>637</v>
      </c>
      <c r="B472" s="193" t="s">
        <v>638</v>
      </c>
      <c r="C472" s="131" t="s">
        <v>639</v>
      </c>
      <c r="D472" s="132" t="s">
        <v>582</v>
      </c>
      <c r="E472" s="134">
        <v>192</v>
      </c>
      <c r="F472" s="133">
        <v>11433</v>
      </c>
      <c r="G472" s="46">
        <f t="shared" si="18"/>
        <v>2195136</v>
      </c>
    </row>
    <row r="473" spans="1:7" s="40" customFormat="1" ht="12.75" x14ac:dyDescent="0.2">
      <c r="A473" s="130" t="s">
        <v>640</v>
      </c>
      <c r="B473" s="193" t="s">
        <v>641</v>
      </c>
      <c r="C473" s="131" t="s">
        <v>642</v>
      </c>
      <c r="D473" s="132" t="s">
        <v>582</v>
      </c>
      <c r="E473" s="134">
        <v>157</v>
      </c>
      <c r="F473" s="133">
        <v>8922</v>
      </c>
      <c r="G473" s="46">
        <f t="shared" si="18"/>
        <v>1400754</v>
      </c>
    </row>
    <row r="474" spans="1:7" s="40" customFormat="1" ht="25.5" x14ac:dyDescent="0.2">
      <c r="A474" s="130" t="s">
        <v>643</v>
      </c>
      <c r="B474" s="193" t="s">
        <v>644</v>
      </c>
      <c r="C474" s="131" t="s">
        <v>645</v>
      </c>
      <c r="D474" s="132" t="s">
        <v>582</v>
      </c>
      <c r="E474" s="134">
        <v>604</v>
      </c>
      <c r="F474" s="133">
        <v>17106</v>
      </c>
      <c r="G474" s="46">
        <f t="shared" si="18"/>
        <v>10332024</v>
      </c>
    </row>
    <row r="475" spans="1:7" s="40" customFormat="1" ht="14.25" customHeight="1" x14ac:dyDescent="0.2">
      <c r="A475" s="130"/>
      <c r="B475" s="110"/>
      <c r="C475" s="110"/>
      <c r="D475" s="110"/>
      <c r="E475" s="38"/>
      <c r="F475" s="110"/>
      <c r="G475" s="46"/>
    </row>
    <row r="476" spans="1:7" s="40" customFormat="1" ht="14.25" customHeight="1" x14ac:dyDescent="0.2">
      <c r="A476" s="130">
        <v>16.600000000000001</v>
      </c>
      <c r="B476" s="110"/>
      <c r="C476" s="256" t="s">
        <v>646</v>
      </c>
      <c r="D476" s="256"/>
      <c r="E476" s="256"/>
      <c r="F476" s="110"/>
      <c r="G476" s="46"/>
    </row>
    <row r="477" spans="1:7" s="40" customFormat="1" ht="12.75" x14ac:dyDescent="0.2">
      <c r="A477" s="130" t="s">
        <v>647</v>
      </c>
      <c r="B477" s="193" t="s">
        <v>648</v>
      </c>
      <c r="C477" s="131" t="s">
        <v>649</v>
      </c>
      <c r="D477" s="132" t="s">
        <v>582</v>
      </c>
      <c r="E477" s="134">
        <v>20</v>
      </c>
      <c r="F477" s="133">
        <v>32179</v>
      </c>
      <c r="G477" s="46">
        <f t="shared" si="18"/>
        <v>643580</v>
      </c>
    </row>
    <row r="478" spans="1:7" s="40" customFormat="1" ht="12.75" x14ac:dyDescent="0.2">
      <c r="A478" s="130" t="s">
        <v>650</v>
      </c>
      <c r="B478" s="193" t="s">
        <v>651</v>
      </c>
      <c r="C478" s="131" t="s">
        <v>652</v>
      </c>
      <c r="D478" s="132" t="s">
        <v>582</v>
      </c>
      <c r="E478" s="134">
        <v>48</v>
      </c>
      <c r="F478" s="133">
        <v>10958</v>
      </c>
      <c r="G478" s="46">
        <f t="shared" si="18"/>
        <v>525984</v>
      </c>
    </row>
    <row r="479" spans="1:7" s="40" customFormat="1" ht="12.75" x14ac:dyDescent="0.2">
      <c r="A479" s="130" t="s">
        <v>653</v>
      </c>
      <c r="B479" s="193" t="s">
        <v>654</v>
      </c>
      <c r="C479" s="131" t="s">
        <v>655</v>
      </c>
      <c r="D479" s="132" t="s">
        <v>582</v>
      </c>
      <c r="E479" s="134">
        <v>25</v>
      </c>
      <c r="F479" s="133">
        <v>30897</v>
      </c>
      <c r="G479" s="46">
        <f t="shared" si="18"/>
        <v>772425</v>
      </c>
    </row>
    <row r="480" spans="1:7" s="40" customFormat="1" ht="25.5" x14ac:dyDescent="0.2">
      <c r="A480" s="130" t="s">
        <v>656</v>
      </c>
      <c r="B480" s="193" t="s">
        <v>657</v>
      </c>
      <c r="C480" s="131" t="s">
        <v>658</v>
      </c>
      <c r="D480" s="132" t="s">
        <v>582</v>
      </c>
      <c r="E480" s="134">
        <v>10</v>
      </c>
      <c r="F480" s="133">
        <v>104276</v>
      </c>
      <c r="G480" s="46">
        <f t="shared" si="18"/>
        <v>1042760</v>
      </c>
    </row>
    <row r="481" spans="1:7" s="40" customFormat="1" ht="25.5" x14ac:dyDescent="0.2">
      <c r="A481" s="130" t="s">
        <v>659</v>
      </c>
      <c r="B481" s="193" t="s">
        <v>660</v>
      </c>
      <c r="C481" s="131" t="s">
        <v>661</v>
      </c>
      <c r="D481" s="132" t="s">
        <v>582</v>
      </c>
      <c r="E481" s="134">
        <v>11</v>
      </c>
      <c r="F481" s="133">
        <v>99176</v>
      </c>
      <c r="G481" s="46">
        <f t="shared" si="18"/>
        <v>1090936</v>
      </c>
    </row>
    <row r="482" spans="1:7" s="40" customFormat="1" ht="25.5" x14ac:dyDescent="0.2">
      <c r="A482" s="130" t="s">
        <v>662</v>
      </c>
      <c r="B482" s="193" t="s">
        <v>663</v>
      </c>
      <c r="C482" s="131" t="s">
        <v>664</v>
      </c>
      <c r="D482" s="132" t="s">
        <v>582</v>
      </c>
      <c r="E482" s="134">
        <v>22</v>
      </c>
      <c r="F482" s="133">
        <v>25573</v>
      </c>
      <c r="G482" s="46">
        <f t="shared" si="18"/>
        <v>562606</v>
      </c>
    </row>
    <row r="483" spans="1:7" s="40" customFormat="1" ht="25.5" x14ac:dyDescent="0.2">
      <c r="A483" s="130" t="s">
        <v>665</v>
      </c>
      <c r="B483" s="193" t="s">
        <v>666</v>
      </c>
      <c r="C483" s="131" t="s">
        <v>667</v>
      </c>
      <c r="D483" s="132" t="s">
        <v>582</v>
      </c>
      <c r="E483" s="134">
        <v>16</v>
      </c>
      <c r="F483" s="133">
        <v>19029</v>
      </c>
      <c r="G483" s="46">
        <f t="shared" si="18"/>
        <v>304464</v>
      </c>
    </row>
    <row r="484" spans="1:7" s="40" customFormat="1" ht="12.75" x14ac:dyDescent="0.2">
      <c r="A484" s="130" t="s">
        <v>668</v>
      </c>
      <c r="B484" s="193" t="s">
        <v>669</v>
      </c>
      <c r="C484" s="131" t="s">
        <v>670</v>
      </c>
      <c r="D484" s="132" t="s">
        <v>582</v>
      </c>
      <c r="E484" s="134">
        <v>22</v>
      </c>
      <c r="F484" s="133">
        <v>15663</v>
      </c>
      <c r="G484" s="46">
        <f t="shared" si="18"/>
        <v>344586</v>
      </c>
    </row>
    <row r="485" spans="1:7" s="40" customFormat="1" ht="12.75" x14ac:dyDescent="0.2">
      <c r="A485" s="130" t="s">
        <v>671</v>
      </c>
      <c r="B485" s="193" t="s">
        <v>672</v>
      </c>
      <c r="C485" s="131" t="s">
        <v>642</v>
      </c>
      <c r="D485" s="132" t="s">
        <v>582</v>
      </c>
      <c r="E485" s="134">
        <v>10</v>
      </c>
      <c r="F485" s="133">
        <v>8922</v>
      </c>
      <c r="G485" s="46">
        <f t="shared" si="18"/>
        <v>89220</v>
      </c>
    </row>
    <row r="486" spans="1:7" s="40" customFormat="1" ht="12.75" x14ac:dyDescent="0.2">
      <c r="A486" s="130"/>
      <c r="B486" s="110"/>
      <c r="C486" s="110"/>
      <c r="D486" s="110"/>
      <c r="E486" s="38"/>
      <c r="F486" s="110"/>
      <c r="G486" s="46"/>
    </row>
    <row r="487" spans="1:7" s="40" customFormat="1" ht="14.25" customHeight="1" x14ac:dyDescent="0.2">
      <c r="A487" s="130">
        <v>16.7</v>
      </c>
      <c r="B487" s="110"/>
      <c r="C487" s="110" t="s">
        <v>673</v>
      </c>
      <c r="D487" s="110"/>
      <c r="E487" s="38"/>
      <c r="F487" s="110"/>
      <c r="G487" s="46"/>
    </row>
    <row r="488" spans="1:7" s="40" customFormat="1" ht="12.75" x14ac:dyDescent="0.2">
      <c r="A488" s="130" t="s">
        <v>674</v>
      </c>
      <c r="B488" s="193" t="s">
        <v>675</v>
      </c>
      <c r="C488" s="131" t="s">
        <v>676</v>
      </c>
      <c r="D488" s="132" t="s">
        <v>26</v>
      </c>
      <c r="E488" s="134">
        <v>9</v>
      </c>
      <c r="F488" s="133">
        <v>572318</v>
      </c>
      <c r="G488" s="46">
        <f t="shared" si="18"/>
        <v>5150862</v>
      </c>
    </row>
    <row r="489" spans="1:7" s="40" customFormat="1" ht="25.5" x14ac:dyDescent="0.2">
      <c r="A489" s="130" t="s">
        <v>677</v>
      </c>
      <c r="B489" s="193" t="s">
        <v>678</v>
      </c>
      <c r="C489" s="131" t="s">
        <v>679</v>
      </c>
      <c r="D489" s="132" t="s">
        <v>26</v>
      </c>
      <c r="E489" s="134">
        <v>18</v>
      </c>
      <c r="F489" s="133">
        <v>937778</v>
      </c>
      <c r="G489" s="46">
        <f t="shared" si="18"/>
        <v>16880004</v>
      </c>
    </row>
    <row r="490" spans="1:7" s="40" customFormat="1" ht="12.75" x14ac:dyDescent="0.2">
      <c r="A490" s="130" t="s">
        <v>680</v>
      </c>
      <c r="B490" s="193" t="s">
        <v>681</v>
      </c>
      <c r="C490" s="131" t="s">
        <v>682</v>
      </c>
      <c r="D490" s="132" t="s">
        <v>582</v>
      </c>
      <c r="E490" s="134">
        <v>80</v>
      </c>
      <c r="F490" s="133">
        <v>98771</v>
      </c>
      <c r="G490" s="46">
        <f t="shared" si="18"/>
        <v>7901680</v>
      </c>
    </row>
    <row r="491" spans="1:7" s="40" customFormat="1" ht="12.75" x14ac:dyDescent="0.2">
      <c r="A491" s="130" t="s">
        <v>683</v>
      </c>
      <c r="B491" s="193" t="s">
        <v>684</v>
      </c>
      <c r="C491" s="131" t="s">
        <v>685</v>
      </c>
      <c r="D491" s="132" t="s">
        <v>582</v>
      </c>
      <c r="E491" s="134">
        <v>20</v>
      </c>
      <c r="F491" s="133">
        <v>54707</v>
      </c>
      <c r="G491" s="46">
        <f t="shared" si="18"/>
        <v>1094140</v>
      </c>
    </row>
    <row r="492" spans="1:7" s="40" customFormat="1" ht="12.75" x14ac:dyDescent="0.2">
      <c r="A492" s="130" t="s">
        <v>686</v>
      </c>
      <c r="B492" s="193" t="s">
        <v>687</v>
      </c>
      <c r="C492" s="131" t="s">
        <v>688</v>
      </c>
      <c r="D492" s="132" t="s">
        <v>582</v>
      </c>
      <c r="E492" s="134">
        <v>181</v>
      </c>
      <c r="F492" s="133">
        <v>38840</v>
      </c>
      <c r="G492" s="46">
        <f t="shared" si="18"/>
        <v>7030040</v>
      </c>
    </row>
    <row r="493" spans="1:7" s="40" customFormat="1" ht="12.75" x14ac:dyDescent="0.2">
      <c r="A493" s="130" t="s">
        <v>689</v>
      </c>
      <c r="B493" s="193" t="s">
        <v>690</v>
      </c>
      <c r="C493" s="131" t="s">
        <v>691</v>
      </c>
      <c r="D493" s="132" t="s">
        <v>582</v>
      </c>
      <c r="E493" s="134">
        <v>25</v>
      </c>
      <c r="F493" s="133">
        <v>46219</v>
      </c>
      <c r="G493" s="46">
        <f t="shared" si="18"/>
        <v>1155475</v>
      </c>
    </row>
    <row r="494" spans="1:7" s="40" customFormat="1" ht="12.75" x14ac:dyDescent="0.2">
      <c r="A494" s="130" t="s">
        <v>692</v>
      </c>
      <c r="B494" s="193" t="s">
        <v>693</v>
      </c>
      <c r="C494" s="131" t="s">
        <v>694</v>
      </c>
      <c r="D494" s="132" t="s">
        <v>582</v>
      </c>
      <c r="E494" s="134">
        <v>77</v>
      </c>
      <c r="F494" s="133">
        <v>54790</v>
      </c>
      <c r="G494" s="46">
        <f t="shared" si="18"/>
        <v>4218830</v>
      </c>
    </row>
    <row r="495" spans="1:7" s="40" customFormat="1" ht="12.75" x14ac:dyDescent="0.2">
      <c r="A495" s="130" t="s">
        <v>695</v>
      </c>
      <c r="B495" s="193" t="s">
        <v>696</v>
      </c>
      <c r="C495" s="131" t="s">
        <v>697</v>
      </c>
      <c r="D495" s="132" t="s">
        <v>582</v>
      </c>
      <c r="E495" s="134">
        <v>49</v>
      </c>
      <c r="F495" s="133">
        <v>72654</v>
      </c>
      <c r="G495" s="46">
        <f t="shared" ref="G495:G552" si="19">+E495*F495</f>
        <v>3560046</v>
      </c>
    </row>
    <row r="496" spans="1:7" s="40" customFormat="1" ht="12.75" x14ac:dyDescent="0.2">
      <c r="A496" s="130" t="s">
        <v>698</v>
      </c>
      <c r="B496" s="193" t="s">
        <v>699</v>
      </c>
      <c r="C496" s="131" t="s">
        <v>700</v>
      </c>
      <c r="D496" s="132" t="s">
        <v>582</v>
      </c>
      <c r="E496" s="134">
        <v>10</v>
      </c>
      <c r="F496" s="133">
        <v>86486</v>
      </c>
      <c r="G496" s="46">
        <f t="shared" si="19"/>
        <v>864860</v>
      </c>
    </row>
    <row r="497" spans="1:7" s="40" customFormat="1" ht="12.75" x14ac:dyDescent="0.2">
      <c r="A497" s="130" t="s">
        <v>701</v>
      </c>
      <c r="B497" s="193" t="s">
        <v>702</v>
      </c>
      <c r="C497" s="131" t="s">
        <v>703</v>
      </c>
      <c r="D497" s="132" t="s">
        <v>582</v>
      </c>
      <c r="E497" s="134">
        <v>5</v>
      </c>
      <c r="F497" s="133">
        <v>90333</v>
      </c>
      <c r="G497" s="46">
        <f t="shared" si="19"/>
        <v>451665</v>
      </c>
    </row>
    <row r="498" spans="1:7" s="40" customFormat="1" ht="12.75" x14ac:dyDescent="0.2">
      <c r="A498" s="130" t="s">
        <v>704</v>
      </c>
      <c r="B498" s="193" t="s">
        <v>705</v>
      </c>
      <c r="C498" s="131" t="s">
        <v>706</v>
      </c>
      <c r="D498" s="132" t="s">
        <v>582</v>
      </c>
      <c r="E498" s="134">
        <v>22</v>
      </c>
      <c r="F498" s="133">
        <v>109542</v>
      </c>
      <c r="G498" s="46">
        <f t="shared" si="19"/>
        <v>2409924</v>
      </c>
    </row>
    <row r="499" spans="1:7" s="40" customFormat="1" ht="14.25" customHeight="1" x14ac:dyDescent="0.2">
      <c r="A499" s="130"/>
      <c r="B499" s="110"/>
      <c r="C499" s="110"/>
      <c r="D499" s="110"/>
      <c r="E499" s="38"/>
      <c r="F499" s="110"/>
      <c r="G499" s="46"/>
    </row>
    <row r="500" spans="1:7" s="40" customFormat="1" ht="14.25" customHeight="1" x14ac:dyDescent="0.2">
      <c r="A500" s="130">
        <v>16.8</v>
      </c>
      <c r="B500" s="110"/>
      <c r="C500" s="110" t="s">
        <v>707</v>
      </c>
      <c r="D500" s="110"/>
      <c r="E500" s="38"/>
      <c r="F500" s="110"/>
      <c r="G500" s="46"/>
    </row>
    <row r="501" spans="1:7" s="40" customFormat="1" ht="25.5" x14ac:dyDescent="0.2">
      <c r="A501" s="130" t="s">
        <v>708</v>
      </c>
      <c r="B501" s="193" t="s">
        <v>709</v>
      </c>
      <c r="C501" s="131" t="s">
        <v>710</v>
      </c>
      <c r="D501" s="132" t="s">
        <v>582</v>
      </c>
      <c r="E501" s="134">
        <v>240</v>
      </c>
      <c r="F501" s="133">
        <v>15588</v>
      </c>
      <c r="G501" s="46">
        <f t="shared" si="19"/>
        <v>3741120</v>
      </c>
    </row>
    <row r="502" spans="1:7" s="40" customFormat="1" ht="25.5" x14ac:dyDescent="0.2">
      <c r="A502" s="130" t="s">
        <v>711</v>
      </c>
      <c r="B502" s="193" t="s">
        <v>712</v>
      </c>
      <c r="C502" s="131" t="s">
        <v>713</v>
      </c>
      <c r="D502" s="132" t="s">
        <v>582</v>
      </c>
      <c r="E502" s="134">
        <v>93</v>
      </c>
      <c r="F502" s="133">
        <v>12783</v>
      </c>
      <c r="G502" s="46">
        <f t="shared" si="19"/>
        <v>1188819</v>
      </c>
    </row>
    <row r="503" spans="1:7" s="40" customFormat="1" ht="25.5" x14ac:dyDescent="0.2">
      <c r="A503" s="130" t="s">
        <v>714</v>
      </c>
      <c r="B503" s="193" t="s">
        <v>715</v>
      </c>
      <c r="C503" s="131" t="s">
        <v>716</v>
      </c>
      <c r="D503" s="132" t="s">
        <v>582</v>
      </c>
      <c r="E503" s="134">
        <v>130</v>
      </c>
      <c r="F503" s="133">
        <v>10794</v>
      </c>
      <c r="G503" s="46">
        <f t="shared" si="19"/>
        <v>1403220</v>
      </c>
    </row>
    <row r="504" spans="1:7" s="40" customFormat="1" ht="25.5" x14ac:dyDescent="0.2">
      <c r="A504" s="130" t="s">
        <v>717</v>
      </c>
      <c r="B504" s="193" t="s">
        <v>718</v>
      </c>
      <c r="C504" s="131" t="s">
        <v>719</v>
      </c>
      <c r="D504" s="132" t="s">
        <v>26</v>
      </c>
      <c r="E504" s="134">
        <v>14</v>
      </c>
      <c r="F504" s="133">
        <v>1795095</v>
      </c>
      <c r="G504" s="46">
        <f t="shared" si="19"/>
        <v>25131330</v>
      </c>
    </row>
    <row r="505" spans="1:7" s="40" customFormat="1" ht="25.5" x14ac:dyDescent="0.2">
      <c r="A505" s="130" t="s">
        <v>720</v>
      </c>
      <c r="B505" s="193" t="s">
        <v>721</v>
      </c>
      <c r="C505" s="131" t="s">
        <v>722</v>
      </c>
      <c r="D505" s="132" t="s">
        <v>26</v>
      </c>
      <c r="E505" s="134">
        <v>28</v>
      </c>
      <c r="F505" s="133">
        <v>510001</v>
      </c>
      <c r="G505" s="46">
        <f t="shared" si="19"/>
        <v>14280028</v>
      </c>
    </row>
    <row r="506" spans="1:7" s="40" customFormat="1" ht="14.25" customHeight="1" x14ac:dyDescent="0.2">
      <c r="A506" s="130"/>
      <c r="B506" s="110"/>
      <c r="C506" s="110"/>
      <c r="D506" s="110"/>
      <c r="E506" s="38"/>
      <c r="F506" s="110"/>
      <c r="G506" s="46"/>
    </row>
    <row r="507" spans="1:7" s="40" customFormat="1" ht="14.25" customHeight="1" x14ac:dyDescent="0.2">
      <c r="A507" s="130">
        <v>16.899999999999999</v>
      </c>
      <c r="B507" s="110"/>
      <c r="C507" s="110" t="s">
        <v>723</v>
      </c>
      <c r="D507" s="110"/>
      <c r="E507" s="38"/>
      <c r="F507" s="110"/>
      <c r="G507" s="46"/>
    </row>
    <row r="508" spans="1:7" s="40" customFormat="1" ht="12.75" x14ac:dyDescent="0.2">
      <c r="A508" s="130" t="s">
        <v>724</v>
      </c>
      <c r="B508" s="193" t="s">
        <v>725</v>
      </c>
      <c r="C508" s="131" t="s">
        <v>726</v>
      </c>
      <c r="D508" s="132" t="s">
        <v>26</v>
      </c>
      <c r="E508" s="134">
        <v>3</v>
      </c>
      <c r="F508" s="133">
        <v>122483</v>
      </c>
      <c r="G508" s="46">
        <f t="shared" si="19"/>
        <v>367449</v>
      </c>
    </row>
    <row r="509" spans="1:7" s="40" customFormat="1" ht="12.75" x14ac:dyDescent="0.2">
      <c r="A509" s="130" t="s">
        <v>727</v>
      </c>
      <c r="B509" s="193" t="s">
        <v>728</v>
      </c>
      <c r="C509" s="131" t="s">
        <v>729</v>
      </c>
      <c r="D509" s="132" t="s">
        <v>582</v>
      </c>
      <c r="E509" s="134">
        <v>10</v>
      </c>
      <c r="F509" s="133">
        <v>26311</v>
      </c>
      <c r="G509" s="46">
        <f t="shared" si="19"/>
        <v>263110</v>
      </c>
    </row>
    <row r="510" spans="1:7" s="40" customFormat="1" ht="12.75" x14ac:dyDescent="0.2">
      <c r="A510" s="130" t="s">
        <v>730</v>
      </c>
      <c r="B510" s="193" t="s">
        <v>731</v>
      </c>
      <c r="C510" s="131" t="s">
        <v>732</v>
      </c>
      <c r="D510" s="132" t="s">
        <v>26</v>
      </c>
      <c r="E510" s="134">
        <v>5</v>
      </c>
      <c r="F510" s="133">
        <v>44745</v>
      </c>
      <c r="G510" s="46">
        <f t="shared" si="19"/>
        <v>223725</v>
      </c>
    </row>
    <row r="511" spans="1:7" s="40" customFormat="1" ht="12.75" x14ac:dyDescent="0.2">
      <c r="A511" s="130" t="s">
        <v>733</v>
      </c>
      <c r="B511" s="193" t="s">
        <v>734</v>
      </c>
      <c r="C511" s="131" t="s">
        <v>735</v>
      </c>
      <c r="D511" s="132" t="s">
        <v>26</v>
      </c>
      <c r="E511" s="134">
        <v>2</v>
      </c>
      <c r="F511" s="133">
        <v>160228</v>
      </c>
      <c r="G511" s="46">
        <f t="shared" si="19"/>
        <v>320456</v>
      </c>
    </row>
    <row r="512" spans="1:7" s="40" customFormat="1" ht="12.75" x14ac:dyDescent="0.2">
      <c r="A512" s="130" t="s">
        <v>736</v>
      </c>
      <c r="B512" s="193" t="s">
        <v>737</v>
      </c>
      <c r="C512" s="131" t="s">
        <v>738</v>
      </c>
      <c r="D512" s="132" t="s">
        <v>64</v>
      </c>
      <c r="E512" s="134">
        <v>100</v>
      </c>
      <c r="F512" s="133">
        <v>12019</v>
      </c>
      <c r="G512" s="46">
        <f t="shared" si="19"/>
        <v>1201900</v>
      </c>
    </row>
    <row r="513" spans="1:7" s="40" customFormat="1" ht="12.75" x14ac:dyDescent="0.2">
      <c r="A513" s="130"/>
      <c r="B513" s="110"/>
      <c r="C513" s="110"/>
      <c r="D513" s="110"/>
      <c r="E513" s="38"/>
      <c r="F513" s="110"/>
      <c r="G513" s="46"/>
    </row>
    <row r="514" spans="1:7" s="40" customFormat="1" ht="14.25" customHeight="1" x14ac:dyDescent="0.2">
      <c r="A514" s="135">
        <v>16.100000000000001</v>
      </c>
      <c r="B514" s="110"/>
      <c r="C514" s="110" t="s">
        <v>739</v>
      </c>
      <c r="D514" s="110"/>
      <c r="E514" s="38"/>
      <c r="F514" s="110"/>
      <c r="G514" s="46"/>
    </row>
    <row r="515" spans="1:7" s="40" customFormat="1" ht="25.5" x14ac:dyDescent="0.2">
      <c r="A515" s="130" t="s">
        <v>740</v>
      </c>
      <c r="B515" s="193" t="s">
        <v>741</v>
      </c>
      <c r="C515" s="131" t="s">
        <v>742</v>
      </c>
      <c r="D515" s="132" t="s">
        <v>26</v>
      </c>
      <c r="E515" s="134">
        <v>8</v>
      </c>
      <c r="F515" s="133">
        <v>50602</v>
      </c>
      <c r="G515" s="46">
        <f t="shared" si="19"/>
        <v>404816</v>
      </c>
    </row>
    <row r="516" spans="1:7" s="40" customFormat="1" ht="25.5" x14ac:dyDescent="0.2">
      <c r="A516" s="130" t="s">
        <v>743</v>
      </c>
      <c r="B516" s="193" t="s">
        <v>744</v>
      </c>
      <c r="C516" s="131" t="s">
        <v>745</v>
      </c>
      <c r="D516" s="132" t="s">
        <v>26</v>
      </c>
      <c r="E516" s="134">
        <v>5</v>
      </c>
      <c r="F516" s="133">
        <v>50461</v>
      </c>
      <c r="G516" s="46">
        <f t="shared" si="19"/>
        <v>252305</v>
      </c>
    </row>
    <row r="517" spans="1:7" s="40" customFormat="1" ht="25.5" x14ac:dyDescent="0.2">
      <c r="A517" s="130" t="s">
        <v>746</v>
      </c>
      <c r="B517" s="193" t="s">
        <v>747</v>
      </c>
      <c r="C517" s="131" t="s">
        <v>748</v>
      </c>
      <c r="D517" s="132" t="s">
        <v>26</v>
      </c>
      <c r="E517" s="134">
        <v>12</v>
      </c>
      <c r="F517" s="133">
        <v>58762</v>
      </c>
      <c r="G517" s="46">
        <f t="shared" si="19"/>
        <v>705144</v>
      </c>
    </row>
    <row r="518" spans="1:7" s="40" customFormat="1" ht="25.5" x14ac:dyDescent="0.2">
      <c r="A518" s="130" t="s">
        <v>749</v>
      </c>
      <c r="B518" s="193" t="s">
        <v>750</v>
      </c>
      <c r="C518" s="131" t="s">
        <v>751</v>
      </c>
      <c r="D518" s="132" t="s">
        <v>26</v>
      </c>
      <c r="E518" s="134">
        <v>2</v>
      </c>
      <c r="F518" s="133">
        <v>95820</v>
      </c>
      <c r="G518" s="46">
        <f t="shared" si="19"/>
        <v>191640</v>
      </c>
    </row>
    <row r="519" spans="1:7" s="40" customFormat="1" ht="25.5" x14ac:dyDescent="0.2">
      <c r="A519" s="130" t="s">
        <v>752</v>
      </c>
      <c r="B519" s="193" t="s">
        <v>753</v>
      </c>
      <c r="C519" s="131" t="s">
        <v>754</v>
      </c>
      <c r="D519" s="132" t="s">
        <v>26</v>
      </c>
      <c r="E519" s="134">
        <v>1</v>
      </c>
      <c r="F519" s="133">
        <v>101175</v>
      </c>
      <c r="G519" s="46">
        <f t="shared" si="19"/>
        <v>101175</v>
      </c>
    </row>
    <row r="520" spans="1:7" s="40" customFormat="1" ht="25.5" x14ac:dyDescent="0.2">
      <c r="A520" s="130" t="s">
        <v>755</v>
      </c>
      <c r="B520" s="193" t="s">
        <v>756</v>
      </c>
      <c r="C520" s="131" t="s">
        <v>757</v>
      </c>
      <c r="D520" s="132" t="s">
        <v>26</v>
      </c>
      <c r="E520" s="134">
        <v>7</v>
      </c>
      <c r="F520" s="133">
        <v>213448</v>
      </c>
      <c r="G520" s="46">
        <f t="shared" si="19"/>
        <v>1494136</v>
      </c>
    </row>
    <row r="521" spans="1:7" s="40" customFormat="1" ht="25.5" x14ac:dyDescent="0.2">
      <c r="A521" s="130" t="s">
        <v>758</v>
      </c>
      <c r="B521" s="193" t="s">
        <v>759</v>
      </c>
      <c r="C521" s="131" t="s">
        <v>760</v>
      </c>
      <c r="D521" s="132" t="s">
        <v>26</v>
      </c>
      <c r="E521" s="134">
        <v>2</v>
      </c>
      <c r="F521" s="133">
        <v>391243</v>
      </c>
      <c r="G521" s="46">
        <f t="shared" si="19"/>
        <v>782486</v>
      </c>
    </row>
    <row r="522" spans="1:7" s="40" customFormat="1" ht="25.5" x14ac:dyDescent="0.2">
      <c r="A522" s="130" t="s">
        <v>761</v>
      </c>
      <c r="B522" s="193" t="s">
        <v>762</v>
      </c>
      <c r="C522" s="131" t="s">
        <v>763</v>
      </c>
      <c r="D522" s="132" t="s">
        <v>26</v>
      </c>
      <c r="E522" s="134">
        <v>1</v>
      </c>
      <c r="F522" s="133">
        <v>426739</v>
      </c>
      <c r="G522" s="46">
        <f t="shared" si="19"/>
        <v>426739</v>
      </c>
    </row>
    <row r="523" spans="1:7" s="40" customFormat="1" ht="25.5" x14ac:dyDescent="0.2">
      <c r="A523" s="130" t="s">
        <v>764</v>
      </c>
      <c r="B523" s="193" t="s">
        <v>765</v>
      </c>
      <c r="C523" s="131" t="s">
        <v>766</v>
      </c>
      <c r="D523" s="132" t="s">
        <v>26</v>
      </c>
      <c r="E523" s="134">
        <v>4</v>
      </c>
      <c r="F523" s="133">
        <v>427249</v>
      </c>
      <c r="G523" s="46">
        <f t="shared" si="19"/>
        <v>1708996</v>
      </c>
    </row>
    <row r="524" spans="1:7" s="40" customFormat="1" ht="25.5" x14ac:dyDescent="0.2">
      <c r="A524" s="130" t="s">
        <v>767</v>
      </c>
      <c r="B524" s="193" t="s">
        <v>768</v>
      </c>
      <c r="C524" s="131" t="s">
        <v>769</v>
      </c>
      <c r="D524" s="132" t="s">
        <v>26</v>
      </c>
      <c r="E524" s="134">
        <v>1</v>
      </c>
      <c r="F524" s="133">
        <v>424444</v>
      </c>
      <c r="G524" s="46">
        <f t="shared" si="19"/>
        <v>424444</v>
      </c>
    </row>
    <row r="525" spans="1:7" s="40" customFormat="1" ht="18.75" customHeight="1" x14ac:dyDescent="0.2">
      <c r="A525" s="130" t="s">
        <v>770</v>
      </c>
      <c r="B525" s="193" t="s">
        <v>771</v>
      </c>
      <c r="C525" s="131" t="s">
        <v>772</v>
      </c>
      <c r="D525" s="132" t="s">
        <v>26</v>
      </c>
      <c r="E525" s="134">
        <v>1</v>
      </c>
      <c r="F525" s="133">
        <v>1650205</v>
      </c>
      <c r="G525" s="46">
        <f t="shared" si="19"/>
        <v>1650205</v>
      </c>
    </row>
    <row r="526" spans="1:7" s="40" customFormat="1" ht="18.75" customHeight="1" x14ac:dyDescent="0.2">
      <c r="A526" s="130" t="s">
        <v>773</v>
      </c>
      <c r="B526" s="193" t="s">
        <v>774</v>
      </c>
      <c r="C526" s="131" t="s">
        <v>775</v>
      </c>
      <c r="D526" s="132" t="s">
        <v>26</v>
      </c>
      <c r="E526" s="134">
        <v>2</v>
      </c>
      <c r="F526" s="133">
        <v>634261</v>
      </c>
      <c r="G526" s="46">
        <f t="shared" si="19"/>
        <v>1268522</v>
      </c>
    </row>
    <row r="527" spans="1:7" s="40" customFormat="1" ht="14.25" customHeight="1" x14ac:dyDescent="0.2">
      <c r="A527" s="130"/>
      <c r="B527" s="110"/>
      <c r="C527" s="110"/>
      <c r="D527" s="110"/>
      <c r="E527" s="38"/>
      <c r="F527" s="110"/>
      <c r="G527" s="46"/>
    </row>
    <row r="528" spans="1:7" s="40" customFormat="1" ht="14.25" customHeight="1" x14ac:dyDescent="0.2">
      <c r="A528" s="130">
        <v>16.11</v>
      </c>
      <c r="B528" s="110"/>
      <c r="C528" s="110" t="s">
        <v>776</v>
      </c>
      <c r="D528" s="110"/>
      <c r="E528" s="38"/>
      <c r="F528" s="110"/>
      <c r="G528" s="46"/>
    </row>
    <row r="529" spans="1:7" s="40" customFormat="1" ht="25.5" x14ac:dyDescent="0.2">
      <c r="A529" s="130" t="s">
        <v>777</v>
      </c>
      <c r="B529" s="193" t="s">
        <v>778</v>
      </c>
      <c r="C529" s="131" t="s">
        <v>779</v>
      </c>
      <c r="D529" s="132" t="s">
        <v>26</v>
      </c>
      <c r="E529" s="134">
        <v>2</v>
      </c>
      <c r="F529" s="133">
        <v>362442</v>
      </c>
      <c r="G529" s="46">
        <f t="shared" si="19"/>
        <v>724884</v>
      </c>
    </row>
    <row r="530" spans="1:7" s="40" customFormat="1" ht="12.75" x14ac:dyDescent="0.2">
      <c r="A530" s="130" t="s">
        <v>780</v>
      </c>
      <c r="B530" s="193" t="s">
        <v>781</v>
      </c>
      <c r="C530" s="131" t="s">
        <v>782</v>
      </c>
      <c r="D530" s="132" t="s">
        <v>26</v>
      </c>
      <c r="E530" s="134">
        <v>3</v>
      </c>
      <c r="F530" s="133">
        <v>13574</v>
      </c>
      <c r="G530" s="46">
        <f t="shared" si="19"/>
        <v>40722</v>
      </c>
    </row>
    <row r="531" spans="1:7" s="40" customFormat="1" ht="12.75" x14ac:dyDescent="0.2">
      <c r="A531" s="130" t="s">
        <v>783</v>
      </c>
      <c r="B531" s="193" t="s">
        <v>784</v>
      </c>
      <c r="C531" s="131" t="s">
        <v>785</v>
      </c>
      <c r="D531" s="132" t="s">
        <v>26</v>
      </c>
      <c r="E531" s="134">
        <v>3</v>
      </c>
      <c r="F531" s="133">
        <v>24376</v>
      </c>
      <c r="G531" s="46">
        <f t="shared" si="19"/>
        <v>73128</v>
      </c>
    </row>
    <row r="532" spans="1:7" s="40" customFormat="1" ht="12.75" x14ac:dyDescent="0.2">
      <c r="A532" s="130" t="s">
        <v>786</v>
      </c>
      <c r="B532" s="193" t="s">
        <v>787</v>
      </c>
      <c r="C532" s="131" t="s">
        <v>788</v>
      </c>
      <c r="D532" s="132" t="s">
        <v>26</v>
      </c>
      <c r="E532" s="134">
        <v>2</v>
      </c>
      <c r="F532" s="133">
        <v>53439</v>
      </c>
      <c r="G532" s="46">
        <f t="shared" si="19"/>
        <v>106878</v>
      </c>
    </row>
    <row r="533" spans="1:7" s="40" customFormat="1" ht="25.5" x14ac:dyDescent="0.2">
      <c r="A533" s="130" t="s">
        <v>789</v>
      </c>
      <c r="B533" s="193" t="s">
        <v>790</v>
      </c>
      <c r="C533" s="131" t="s">
        <v>791</v>
      </c>
      <c r="D533" s="132" t="s">
        <v>26</v>
      </c>
      <c r="E533" s="134">
        <v>1</v>
      </c>
      <c r="F533" s="133">
        <v>147750</v>
      </c>
      <c r="G533" s="46">
        <f t="shared" si="19"/>
        <v>147750</v>
      </c>
    </row>
    <row r="534" spans="1:7" s="40" customFormat="1" ht="25.5" x14ac:dyDescent="0.2">
      <c r="A534" s="130" t="s">
        <v>792</v>
      </c>
      <c r="B534" s="193" t="s">
        <v>793</v>
      </c>
      <c r="C534" s="131" t="s">
        <v>794</v>
      </c>
      <c r="D534" s="132" t="s">
        <v>26</v>
      </c>
      <c r="E534" s="134">
        <v>1</v>
      </c>
      <c r="F534" s="133">
        <v>147750</v>
      </c>
      <c r="G534" s="46">
        <f t="shared" si="19"/>
        <v>147750</v>
      </c>
    </row>
    <row r="535" spans="1:7" s="40" customFormat="1" ht="28.5" customHeight="1" x14ac:dyDescent="0.2">
      <c r="A535" s="130" t="s">
        <v>795</v>
      </c>
      <c r="B535" s="193" t="s">
        <v>796</v>
      </c>
      <c r="C535" s="131" t="s">
        <v>797</v>
      </c>
      <c r="D535" s="132" t="s">
        <v>26</v>
      </c>
      <c r="E535" s="134">
        <v>1</v>
      </c>
      <c r="F535" s="133">
        <v>1853116</v>
      </c>
      <c r="G535" s="46">
        <f t="shared" si="19"/>
        <v>1853116</v>
      </c>
    </row>
    <row r="536" spans="1:7" s="40" customFormat="1" ht="29.25" customHeight="1" x14ac:dyDescent="0.2">
      <c r="A536" s="130" t="s">
        <v>798</v>
      </c>
      <c r="B536" s="193" t="s">
        <v>799</v>
      </c>
      <c r="C536" s="131" t="s">
        <v>800</v>
      </c>
      <c r="D536" s="132" t="s">
        <v>26</v>
      </c>
      <c r="E536" s="134">
        <v>1</v>
      </c>
      <c r="F536" s="133">
        <v>1895446</v>
      </c>
      <c r="G536" s="46">
        <f t="shared" si="19"/>
        <v>1895446</v>
      </c>
    </row>
    <row r="537" spans="1:7" s="40" customFormat="1" ht="30" customHeight="1" x14ac:dyDescent="0.2">
      <c r="A537" s="130" t="s">
        <v>801</v>
      </c>
      <c r="B537" s="193" t="s">
        <v>802</v>
      </c>
      <c r="C537" s="131" t="s">
        <v>803</v>
      </c>
      <c r="D537" s="132" t="s">
        <v>26</v>
      </c>
      <c r="E537" s="134">
        <v>1</v>
      </c>
      <c r="F537" s="133">
        <v>1380346</v>
      </c>
      <c r="G537" s="46">
        <f t="shared" si="19"/>
        <v>1380346</v>
      </c>
    </row>
    <row r="538" spans="1:7" s="40" customFormat="1" ht="27.75" customHeight="1" x14ac:dyDescent="0.2">
      <c r="A538" s="130" t="s">
        <v>804</v>
      </c>
      <c r="B538" s="193" t="s">
        <v>805</v>
      </c>
      <c r="C538" s="131" t="s">
        <v>806</v>
      </c>
      <c r="D538" s="132" t="s">
        <v>26</v>
      </c>
      <c r="E538" s="134">
        <v>1</v>
      </c>
      <c r="F538" s="133">
        <v>1359946</v>
      </c>
      <c r="G538" s="46">
        <f t="shared" si="19"/>
        <v>1359946</v>
      </c>
    </row>
    <row r="539" spans="1:7" s="40" customFormat="1" ht="29.25" customHeight="1" x14ac:dyDescent="0.2">
      <c r="A539" s="130" t="s">
        <v>807</v>
      </c>
      <c r="B539" s="193" t="s">
        <v>808</v>
      </c>
      <c r="C539" s="131" t="s">
        <v>809</v>
      </c>
      <c r="D539" s="132" t="s">
        <v>26</v>
      </c>
      <c r="E539" s="134">
        <v>1</v>
      </c>
      <c r="F539" s="133">
        <v>1380346</v>
      </c>
      <c r="G539" s="46">
        <f t="shared" si="19"/>
        <v>1380346</v>
      </c>
    </row>
    <row r="540" spans="1:7" s="40" customFormat="1" ht="12.75" x14ac:dyDescent="0.2">
      <c r="A540" s="130" t="s">
        <v>810</v>
      </c>
      <c r="B540" s="193" t="s">
        <v>811</v>
      </c>
      <c r="C540" s="131" t="s">
        <v>812</v>
      </c>
      <c r="D540" s="132" t="s">
        <v>26</v>
      </c>
      <c r="E540" s="134">
        <v>1</v>
      </c>
      <c r="F540" s="133">
        <v>5908678</v>
      </c>
      <c r="G540" s="46">
        <f t="shared" si="19"/>
        <v>5908678</v>
      </c>
    </row>
    <row r="541" spans="1:7" s="40" customFormat="1" ht="12.75" x14ac:dyDescent="0.2">
      <c r="A541" s="130" t="s">
        <v>813</v>
      </c>
      <c r="B541" s="193" t="s">
        <v>814</v>
      </c>
      <c r="C541" s="131" t="s">
        <v>815</v>
      </c>
      <c r="D541" s="132" t="s">
        <v>26</v>
      </c>
      <c r="E541" s="134">
        <v>1</v>
      </c>
      <c r="F541" s="133">
        <v>7620479</v>
      </c>
      <c r="G541" s="46">
        <f t="shared" si="19"/>
        <v>7620479</v>
      </c>
    </row>
    <row r="542" spans="1:7" s="40" customFormat="1" ht="12.75" x14ac:dyDescent="0.2">
      <c r="A542" s="130" t="s">
        <v>816</v>
      </c>
      <c r="B542" s="193" t="s">
        <v>817</v>
      </c>
      <c r="C542" s="131" t="s">
        <v>818</v>
      </c>
      <c r="D542" s="132" t="s">
        <v>26</v>
      </c>
      <c r="E542" s="134">
        <v>1</v>
      </c>
      <c r="F542" s="133">
        <v>4486835</v>
      </c>
      <c r="G542" s="46">
        <f t="shared" si="19"/>
        <v>4486835</v>
      </c>
    </row>
    <row r="543" spans="1:7" s="40" customFormat="1" ht="12.75" x14ac:dyDescent="0.2">
      <c r="A543" s="130" t="s">
        <v>819</v>
      </c>
      <c r="B543" s="193" t="s">
        <v>820</v>
      </c>
      <c r="C543" s="131" t="s">
        <v>821</v>
      </c>
      <c r="D543" s="132" t="s">
        <v>26</v>
      </c>
      <c r="E543" s="134">
        <v>1</v>
      </c>
      <c r="F543" s="133">
        <v>9234045</v>
      </c>
      <c r="G543" s="46">
        <f t="shared" si="19"/>
        <v>9234045</v>
      </c>
    </row>
    <row r="544" spans="1:7" s="40" customFormat="1" ht="25.5" x14ac:dyDescent="0.2">
      <c r="A544" s="130" t="s">
        <v>822</v>
      </c>
      <c r="B544" s="193" t="s">
        <v>823</v>
      </c>
      <c r="C544" s="131" t="s">
        <v>824</v>
      </c>
      <c r="D544" s="132" t="s">
        <v>26</v>
      </c>
      <c r="E544" s="134">
        <v>1</v>
      </c>
      <c r="F544" s="133">
        <v>49897613</v>
      </c>
      <c r="G544" s="46">
        <f t="shared" si="19"/>
        <v>49897613</v>
      </c>
    </row>
    <row r="545" spans="1:7" s="40" customFormat="1" ht="14.25" customHeight="1" x14ac:dyDescent="0.2">
      <c r="A545" s="130"/>
      <c r="B545" s="110"/>
      <c r="C545" s="110"/>
      <c r="D545" s="110"/>
      <c r="E545" s="38"/>
      <c r="F545" s="110"/>
      <c r="G545" s="46"/>
    </row>
    <row r="546" spans="1:7" s="40" customFormat="1" ht="14.25" customHeight="1" x14ac:dyDescent="0.2">
      <c r="A546" s="130">
        <v>16.12</v>
      </c>
      <c r="B546" s="110"/>
      <c r="C546" s="110" t="s">
        <v>825</v>
      </c>
      <c r="D546" s="110"/>
      <c r="E546" s="38"/>
      <c r="F546" s="110"/>
      <c r="G546" s="46"/>
    </row>
    <row r="547" spans="1:7" s="40" customFormat="1" ht="14.25" customHeight="1" x14ac:dyDescent="0.2">
      <c r="A547" s="130" t="s">
        <v>826</v>
      </c>
      <c r="B547" s="193" t="s">
        <v>827</v>
      </c>
      <c r="C547" s="131" t="s">
        <v>828</v>
      </c>
      <c r="D547" s="132" t="s">
        <v>26</v>
      </c>
      <c r="E547" s="134">
        <v>1</v>
      </c>
      <c r="F547" s="133">
        <v>2028294</v>
      </c>
      <c r="G547" s="46">
        <f t="shared" si="19"/>
        <v>2028294</v>
      </c>
    </row>
    <row r="548" spans="1:7" s="40" customFormat="1" ht="12.75" x14ac:dyDescent="0.2">
      <c r="A548" s="130" t="s">
        <v>829</v>
      </c>
      <c r="B548" s="193" t="s">
        <v>830</v>
      </c>
      <c r="C548" s="131" t="s">
        <v>831</v>
      </c>
      <c r="D548" s="132" t="s">
        <v>26</v>
      </c>
      <c r="E548" s="134">
        <v>1</v>
      </c>
      <c r="F548" s="133">
        <v>2918970</v>
      </c>
      <c r="G548" s="46">
        <f t="shared" si="19"/>
        <v>2918970</v>
      </c>
    </row>
    <row r="549" spans="1:7" s="40" customFormat="1" ht="12.75" x14ac:dyDescent="0.2">
      <c r="A549" s="130" t="s">
        <v>832</v>
      </c>
      <c r="B549" s="193" t="s">
        <v>833</v>
      </c>
      <c r="C549" s="131" t="s">
        <v>834</v>
      </c>
      <c r="D549" s="132" t="s">
        <v>26</v>
      </c>
      <c r="E549" s="134">
        <v>1</v>
      </c>
      <c r="F549" s="133">
        <v>1510000</v>
      </c>
      <c r="G549" s="46">
        <f t="shared" si="19"/>
        <v>1510000</v>
      </c>
    </row>
    <row r="550" spans="1:7" s="40" customFormat="1" ht="12.75" x14ac:dyDescent="0.2">
      <c r="A550" s="130" t="s">
        <v>835</v>
      </c>
      <c r="B550" s="193" t="s">
        <v>836</v>
      </c>
      <c r="C550" s="131" t="s">
        <v>837</v>
      </c>
      <c r="D550" s="132" t="s">
        <v>26</v>
      </c>
      <c r="E550" s="134">
        <v>1</v>
      </c>
      <c r="F550" s="133">
        <v>960000</v>
      </c>
      <c r="G550" s="46">
        <f t="shared" si="19"/>
        <v>960000</v>
      </c>
    </row>
    <row r="551" spans="1:7" s="40" customFormat="1" ht="12.75" x14ac:dyDescent="0.2">
      <c r="A551" s="130" t="s">
        <v>838</v>
      </c>
      <c r="B551" s="193" t="s">
        <v>839</v>
      </c>
      <c r="C551" s="131" t="s">
        <v>840</v>
      </c>
      <c r="D551" s="132" t="s">
        <v>26</v>
      </c>
      <c r="E551" s="134">
        <v>1</v>
      </c>
      <c r="F551" s="133">
        <v>5134320</v>
      </c>
      <c r="G551" s="46">
        <f t="shared" si="19"/>
        <v>5134320</v>
      </c>
    </row>
    <row r="552" spans="1:7" s="40" customFormat="1" ht="12.75" x14ac:dyDescent="0.2">
      <c r="A552" s="130" t="s">
        <v>841</v>
      </c>
      <c r="B552" s="193" t="s">
        <v>842</v>
      </c>
      <c r="C552" s="131" t="s">
        <v>843</v>
      </c>
      <c r="D552" s="132" t="s">
        <v>26</v>
      </c>
      <c r="E552" s="134">
        <v>1</v>
      </c>
      <c r="F552" s="133">
        <v>1481985</v>
      </c>
      <c r="G552" s="46">
        <f t="shared" si="19"/>
        <v>1481985</v>
      </c>
    </row>
    <row r="553" spans="1:7" s="40" customFormat="1" ht="14.25" customHeight="1" thickBot="1" x14ac:dyDescent="0.25">
      <c r="A553" s="210" t="s">
        <v>30</v>
      </c>
      <c r="B553" s="211"/>
      <c r="C553" s="211"/>
      <c r="D553" s="211"/>
      <c r="E553" s="211"/>
      <c r="F553" s="212"/>
      <c r="G553" s="87">
        <f>SUM(G450:G552)</f>
        <v>269316178</v>
      </c>
    </row>
    <row r="554" spans="1:7" s="40" customFormat="1" ht="14.25" customHeight="1" x14ac:dyDescent="0.2">
      <c r="A554" s="265" t="s">
        <v>844</v>
      </c>
      <c r="B554" s="265"/>
      <c r="C554" s="265"/>
      <c r="D554" s="217"/>
      <c r="E554" s="217"/>
      <c r="F554" s="217"/>
      <c r="G554" s="266"/>
    </row>
    <row r="555" spans="1:7" s="40" customFormat="1" ht="14.25" customHeight="1" x14ac:dyDescent="0.2">
      <c r="A555" s="136" t="s">
        <v>845</v>
      </c>
      <c r="B555" s="194"/>
      <c r="C555" s="137"/>
      <c r="D555" s="137"/>
      <c r="E555" s="138"/>
      <c r="F555" s="137"/>
      <c r="G555" s="139"/>
    </row>
    <row r="556" spans="1:7" s="59" customFormat="1" ht="14.25" customHeight="1" x14ac:dyDescent="0.2">
      <c r="A556" s="140"/>
      <c r="B556" s="195"/>
      <c r="C556" s="141"/>
      <c r="D556" s="142"/>
      <c r="E556" s="143"/>
      <c r="F556" s="142"/>
      <c r="G556" s="144"/>
    </row>
    <row r="557" spans="1:7" s="40" customFormat="1" ht="20.25" customHeight="1" x14ac:dyDescent="0.2">
      <c r="A557" s="52">
        <v>17.100000000000001</v>
      </c>
      <c r="B557" s="185"/>
      <c r="C557" s="110" t="s">
        <v>846</v>
      </c>
      <c r="D557" s="110"/>
      <c r="E557" s="38"/>
      <c r="F557" s="110"/>
      <c r="G557" s="145"/>
    </row>
    <row r="558" spans="1:7" s="40" customFormat="1" ht="12.75" x14ac:dyDescent="0.2">
      <c r="A558" s="52" t="s">
        <v>847</v>
      </c>
      <c r="B558" s="185" t="s">
        <v>848</v>
      </c>
      <c r="C558" s="43" t="s">
        <v>849</v>
      </c>
      <c r="D558" s="45" t="s">
        <v>26</v>
      </c>
      <c r="E558" s="44">
        <v>2</v>
      </c>
      <c r="F558" s="48">
        <v>261375</v>
      </c>
      <c r="G558" s="49">
        <f>+E558*F558</f>
        <v>522750</v>
      </c>
    </row>
    <row r="559" spans="1:7" s="40" customFormat="1" ht="12.75" x14ac:dyDescent="0.2">
      <c r="A559" s="52" t="s">
        <v>850</v>
      </c>
      <c r="B559" s="185" t="s">
        <v>851</v>
      </c>
      <c r="C559" s="43" t="s">
        <v>852</v>
      </c>
      <c r="D559" s="45" t="s">
        <v>26</v>
      </c>
      <c r="E559" s="44">
        <v>2</v>
      </c>
      <c r="F559" s="48">
        <v>459598</v>
      </c>
      <c r="G559" s="49">
        <f>+E559*F559</f>
        <v>919196</v>
      </c>
    </row>
    <row r="560" spans="1:7" s="40" customFormat="1" ht="25.5" x14ac:dyDescent="0.2">
      <c r="A560" s="52" t="s">
        <v>853</v>
      </c>
      <c r="B560" s="187" t="s">
        <v>854</v>
      </c>
      <c r="C560" s="43" t="s">
        <v>855</v>
      </c>
      <c r="D560" s="45" t="s">
        <v>26</v>
      </c>
      <c r="E560" s="44">
        <v>1</v>
      </c>
      <c r="F560" s="48">
        <v>10738983</v>
      </c>
      <c r="G560" s="49">
        <f>+E560*F560</f>
        <v>10738983</v>
      </c>
    </row>
    <row r="561" spans="1:7" s="69" customFormat="1" ht="14.25" customHeight="1" x14ac:dyDescent="0.2">
      <c r="A561" s="146"/>
      <c r="B561" s="196"/>
      <c r="C561" s="146"/>
      <c r="D561" s="147"/>
      <c r="E561" s="148"/>
      <c r="F561" s="149"/>
      <c r="G561" s="150"/>
    </row>
    <row r="562" spans="1:7" s="40" customFormat="1" ht="14.25" customHeight="1" x14ac:dyDescent="0.2">
      <c r="A562" s="52">
        <v>17.2</v>
      </c>
      <c r="B562" s="182"/>
      <c r="C562" s="166" t="s">
        <v>856</v>
      </c>
      <c r="D562" s="165"/>
      <c r="E562" s="151"/>
      <c r="F562" s="165"/>
      <c r="G562" s="152"/>
    </row>
    <row r="563" spans="1:7" s="40" customFormat="1" ht="12.75" x14ac:dyDescent="0.2">
      <c r="A563" s="47" t="s">
        <v>857</v>
      </c>
      <c r="B563" s="185" t="s">
        <v>858</v>
      </c>
      <c r="C563" s="43" t="s">
        <v>859</v>
      </c>
      <c r="D563" s="45" t="s">
        <v>26</v>
      </c>
      <c r="E563" s="44">
        <v>6</v>
      </c>
      <c r="F563" s="48">
        <v>19158374</v>
      </c>
      <c r="G563" s="49">
        <f>+E563*F563</f>
        <v>114950244</v>
      </c>
    </row>
    <row r="564" spans="1:7" s="40" customFormat="1" ht="14.25" customHeight="1" x14ac:dyDescent="0.2">
      <c r="A564" s="47"/>
      <c r="B564" s="185"/>
      <c r="C564" s="43"/>
      <c r="D564" s="45"/>
      <c r="E564" s="44"/>
      <c r="F564" s="48"/>
      <c r="G564" s="46"/>
    </row>
    <row r="565" spans="1:7" s="40" customFormat="1" ht="12.75" x14ac:dyDescent="0.2">
      <c r="A565" s="52">
        <v>17.3</v>
      </c>
      <c r="B565" s="182"/>
      <c r="C565" s="166" t="s">
        <v>860</v>
      </c>
      <c r="D565" s="165"/>
      <c r="E565" s="151"/>
      <c r="F565" s="165"/>
      <c r="G565" s="152"/>
    </row>
    <row r="566" spans="1:7" s="40" customFormat="1" ht="12.75" x14ac:dyDescent="0.2">
      <c r="A566" s="47" t="s">
        <v>861</v>
      </c>
      <c r="B566" s="185" t="s">
        <v>862</v>
      </c>
      <c r="C566" s="43" t="s">
        <v>863</v>
      </c>
      <c r="D566" s="45" t="s">
        <v>26</v>
      </c>
      <c r="E566" s="44">
        <v>2</v>
      </c>
      <c r="F566" s="48">
        <v>113100000</v>
      </c>
      <c r="G566" s="46">
        <f>+E566*F566</f>
        <v>226200000</v>
      </c>
    </row>
    <row r="567" spans="1:7" s="40" customFormat="1" ht="12.75" x14ac:dyDescent="0.2">
      <c r="A567" s="47" t="s">
        <v>864</v>
      </c>
      <c r="B567" s="185" t="s">
        <v>865</v>
      </c>
      <c r="C567" s="43" t="s">
        <v>866</v>
      </c>
      <c r="D567" s="45" t="s">
        <v>39</v>
      </c>
      <c r="E567" s="44">
        <v>1166</v>
      </c>
      <c r="F567" s="48">
        <v>663258</v>
      </c>
      <c r="G567" s="115">
        <f>+E567*F567</f>
        <v>773358828</v>
      </c>
    </row>
    <row r="568" spans="1:7" s="40" customFormat="1" ht="12.75" x14ac:dyDescent="0.2">
      <c r="A568" s="47"/>
      <c r="B568" s="185"/>
      <c r="C568" s="43"/>
      <c r="D568" s="45"/>
      <c r="E568" s="153"/>
      <c r="F568" s="154"/>
      <c r="G568" s="115"/>
    </row>
    <row r="569" spans="1:7" s="40" customFormat="1" ht="12.75" x14ac:dyDescent="0.2">
      <c r="A569" s="52">
        <v>17.399999999999999</v>
      </c>
      <c r="B569" s="185"/>
      <c r="C569" s="42" t="s">
        <v>867</v>
      </c>
      <c r="D569" s="45"/>
      <c r="E569" s="44"/>
      <c r="F569" s="48"/>
      <c r="G569" s="46"/>
    </row>
    <row r="570" spans="1:7" s="40" customFormat="1" ht="12.75" x14ac:dyDescent="0.2">
      <c r="A570" s="47" t="s">
        <v>868</v>
      </c>
      <c r="B570" s="185" t="s">
        <v>869</v>
      </c>
      <c r="C570" s="43" t="s">
        <v>870</v>
      </c>
      <c r="D570" s="45" t="s">
        <v>26</v>
      </c>
      <c r="E570" s="44">
        <v>4</v>
      </c>
      <c r="F570" s="48">
        <v>111012000</v>
      </c>
      <c r="G570" s="46">
        <f>+E570*F570</f>
        <v>444048000</v>
      </c>
    </row>
    <row r="571" spans="1:7" s="40" customFormat="1" ht="14.25" customHeight="1" x14ac:dyDescent="0.2">
      <c r="A571" s="155"/>
      <c r="B571" s="197"/>
      <c r="C571" s="155"/>
      <c r="D571" s="156"/>
      <c r="E571" s="157"/>
      <c r="F571" s="158"/>
      <c r="G571" s="115"/>
    </row>
    <row r="572" spans="1:7" s="40" customFormat="1" ht="12.75" x14ac:dyDescent="0.2">
      <c r="A572" s="52">
        <v>17.5</v>
      </c>
      <c r="B572" s="182"/>
      <c r="C572" s="166" t="s">
        <v>871</v>
      </c>
      <c r="D572" s="165"/>
      <c r="E572" s="151"/>
      <c r="F572" s="165"/>
      <c r="G572" s="152"/>
    </row>
    <row r="573" spans="1:7" s="40" customFormat="1" ht="25.5" x14ac:dyDescent="0.2">
      <c r="A573" s="52" t="s">
        <v>872</v>
      </c>
      <c r="B573" s="185" t="s">
        <v>873</v>
      </c>
      <c r="C573" s="43" t="s">
        <v>874</v>
      </c>
      <c r="D573" s="45" t="s">
        <v>26</v>
      </c>
      <c r="E573" s="44">
        <v>1</v>
      </c>
      <c r="F573" s="48">
        <v>66687875</v>
      </c>
      <c r="G573" s="46">
        <f>+E573*F573</f>
        <v>66687875</v>
      </c>
    </row>
    <row r="574" spans="1:7" s="40" customFormat="1" ht="12.75" x14ac:dyDescent="0.2">
      <c r="A574" s="52" t="s">
        <v>875</v>
      </c>
      <c r="B574" s="185" t="s">
        <v>876</v>
      </c>
      <c r="C574" s="43" t="s">
        <v>877</v>
      </c>
      <c r="D574" s="45" t="s">
        <v>26</v>
      </c>
      <c r="E574" s="44">
        <v>1</v>
      </c>
      <c r="F574" s="48">
        <v>66234284</v>
      </c>
      <c r="G574" s="46">
        <f>+E574*F574</f>
        <v>66234284</v>
      </c>
    </row>
    <row r="575" spans="1:7" s="40" customFormat="1" ht="12.75" x14ac:dyDescent="0.2">
      <c r="A575" s="155"/>
      <c r="B575" s="197"/>
      <c r="C575" s="155"/>
      <c r="D575" s="156"/>
      <c r="E575" s="157"/>
      <c r="F575" s="158"/>
      <c r="G575" s="115"/>
    </row>
    <row r="576" spans="1:7" s="40" customFormat="1" ht="12.75" x14ac:dyDescent="0.2">
      <c r="A576" s="52">
        <v>17.600000000000001</v>
      </c>
      <c r="B576" s="182"/>
      <c r="C576" s="166" t="s">
        <v>878</v>
      </c>
      <c r="D576" s="165"/>
      <c r="E576" s="151"/>
      <c r="F576" s="165"/>
      <c r="G576" s="152"/>
    </row>
    <row r="577" spans="1:12" s="40" customFormat="1" ht="12.75" x14ac:dyDescent="0.2">
      <c r="A577" s="52" t="s">
        <v>879</v>
      </c>
      <c r="B577" s="185" t="s">
        <v>880</v>
      </c>
      <c r="C577" s="43" t="s">
        <v>881</v>
      </c>
      <c r="D577" s="45" t="s">
        <v>26</v>
      </c>
      <c r="E577" s="70">
        <v>2</v>
      </c>
      <c r="F577" s="48">
        <v>2572416</v>
      </c>
      <c r="G577" s="46">
        <f>+E577*F577</f>
        <v>5144832</v>
      </c>
    </row>
    <row r="578" spans="1:12" s="40" customFormat="1" ht="12.75" x14ac:dyDescent="0.2">
      <c r="A578" s="47"/>
      <c r="B578" s="185"/>
      <c r="C578" s="43"/>
      <c r="D578" s="45"/>
      <c r="E578" s="44"/>
      <c r="F578" s="48"/>
      <c r="G578" s="46"/>
    </row>
    <row r="579" spans="1:12" s="40" customFormat="1" ht="12.75" x14ac:dyDescent="0.2">
      <c r="A579" s="52">
        <v>17.7</v>
      </c>
      <c r="B579" s="182"/>
      <c r="C579" s="93" t="s">
        <v>882</v>
      </c>
      <c r="D579" s="93"/>
      <c r="E579" s="151"/>
      <c r="F579" s="93"/>
      <c r="G579" s="94"/>
    </row>
    <row r="580" spans="1:12" s="59" customFormat="1" ht="12.75" x14ac:dyDescent="0.2">
      <c r="A580" s="112" t="s">
        <v>883</v>
      </c>
      <c r="B580" s="191" t="s">
        <v>884</v>
      </c>
      <c r="C580" s="43" t="s">
        <v>885</v>
      </c>
      <c r="D580" s="45" t="s">
        <v>886</v>
      </c>
      <c r="E580" s="44">
        <v>1</v>
      </c>
      <c r="F580" s="48">
        <v>48269501</v>
      </c>
      <c r="G580" s="46">
        <f>+E580*F580</f>
        <v>48269501</v>
      </c>
    </row>
    <row r="581" spans="1:12" s="40" customFormat="1" ht="12.75" x14ac:dyDescent="0.2">
      <c r="A581" s="222"/>
      <c r="B581" s="223"/>
      <c r="C581" s="223"/>
      <c r="D581" s="223"/>
      <c r="E581" s="223"/>
      <c r="F581" s="224"/>
      <c r="G581" s="46"/>
    </row>
    <row r="582" spans="1:12" s="40" customFormat="1" ht="12.75" x14ac:dyDescent="0.2">
      <c r="A582" s="159">
        <v>17.8</v>
      </c>
      <c r="B582" s="198"/>
      <c r="C582" s="121" t="s">
        <v>887</v>
      </c>
      <c r="D582" s="121"/>
      <c r="E582" s="122"/>
      <c r="F582" s="121"/>
      <c r="G582" s="160"/>
    </row>
    <row r="583" spans="1:12" s="40" customFormat="1" ht="12.75" x14ac:dyDescent="0.2">
      <c r="A583" s="52" t="s">
        <v>888</v>
      </c>
      <c r="B583" s="185" t="s">
        <v>889</v>
      </c>
      <c r="C583" s="43" t="s">
        <v>890</v>
      </c>
      <c r="D583" s="45" t="s">
        <v>26</v>
      </c>
      <c r="E583" s="44">
        <v>1</v>
      </c>
      <c r="F583" s="48">
        <v>26192362</v>
      </c>
      <c r="G583" s="46">
        <f>+E583*F583</f>
        <v>26192362</v>
      </c>
    </row>
    <row r="584" spans="1:12" s="40" customFormat="1" ht="15.75" customHeight="1" thickBot="1" x14ac:dyDescent="0.25">
      <c r="A584" s="210" t="s">
        <v>30</v>
      </c>
      <c r="B584" s="211"/>
      <c r="C584" s="211"/>
      <c r="D584" s="211"/>
      <c r="E584" s="211"/>
      <c r="F584" s="212"/>
      <c r="G584" s="87">
        <f>SUM(G557:G583)</f>
        <v>1783266855</v>
      </c>
    </row>
    <row r="585" spans="1:12" s="40" customFormat="1" ht="15.75" customHeight="1" x14ac:dyDescent="0.2">
      <c r="A585" s="216" t="s">
        <v>891</v>
      </c>
      <c r="B585" s="217"/>
      <c r="C585" s="217"/>
      <c r="D585" s="217"/>
      <c r="E585" s="217"/>
      <c r="F585" s="217"/>
      <c r="G585" s="218"/>
    </row>
    <row r="586" spans="1:12" s="40" customFormat="1" ht="15.75" customHeight="1" x14ac:dyDescent="0.2">
      <c r="A586" s="88">
        <v>18.100000000000001</v>
      </c>
      <c r="B586" s="185" t="s">
        <v>892</v>
      </c>
      <c r="C586" s="88" t="s">
        <v>893</v>
      </c>
      <c r="D586" s="45" t="s">
        <v>894</v>
      </c>
      <c r="E586" s="44">
        <v>1</v>
      </c>
      <c r="F586" s="48">
        <v>82614152</v>
      </c>
      <c r="G586" s="49">
        <f>+E586*F586</f>
        <v>82614152</v>
      </c>
    </row>
    <row r="587" spans="1:12" s="40" customFormat="1" ht="15.75" customHeight="1" thickBot="1" x14ac:dyDescent="0.25">
      <c r="A587" s="210" t="s">
        <v>30</v>
      </c>
      <c r="B587" s="211"/>
      <c r="C587" s="211"/>
      <c r="D587" s="211"/>
      <c r="E587" s="211"/>
      <c r="F587" s="212"/>
      <c r="G587" s="87">
        <f>SUM(G586)</f>
        <v>82614152</v>
      </c>
      <c r="L587" s="208"/>
    </row>
    <row r="588" spans="1:12" s="40" customFormat="1" ht="15.75" customHeight="1" thickBot="1" x14ac:dyDescent="0.25">
      <c r="A588" s="276" t="s">
        <v>895</v>
      </c>
      <c r="B588" s="277"/>
      <c r="C588" s="277"/>
      <c r="D588" s="277"/>
      <c r="E588" s="277"/>
      <c r="F588" s="278"/>
      <c r="G588" s="200">
        <f>EVEN(+G584+G553+G389+G353+G326+G308+G266+G234+G211+G171+G135+G103+G51+G20+G445+G405+G399+G587)</f>
        <v>3889109172</v>
      </c>
    </row>
    <row r="589" spans="1:12" s="40" customFormat="1" ht="14.25" customHeight="1" thickBot="1" x14ac:dyDescent="0.25">
      <c r="A589" s="273" t="s">
        <v>896</v>
      </c>
      <c r="B589" s="274"/>
      <c r="C589" s="274"/>
      <c r="D589" s="274"/>
      <c r="E589" s="274"/>
      <c r="F589" s="275"/>
      <c r="G589" s="161">
        <f>EVEN(G588*0.35)</f>
        <v>1361188212</v>
      </c>
    </row>
    <row r="590" spans="1:12" s="40" customFormat="1" ht="36.75" customHeight="1" thickBot="1" x14ac:dyDescent="0.25">
      <c r="A590" s="270" t="s">
        <v>897</v>
      </c>
      <c r="B590" s="271"/>
      <c r="C590" s="272"/>
      <c r="D590" s="45" t="s">
        <v>894</v>
      </c>
      <c r="E590" s="44">
        <v>1</v>
      </c>
      <c r="F590" s="48">
        <v>282321407</v>
      </c>
      <c r="G590" s="48">
        <f>E590*F590</f>
        <v>282321407</v>
      </c>
    </row>
    <row r="591" spans="1:12" s="40" customFormat="1" ht="14.25" customHeight="1" thickBot="1" x14ac:dyDescent="0.25">
      <c r="A591" s="210" t="s">
        <v>30</v>
      </c>
      <c r="B591" s="211"/>
      <c r="C591" s="211"/>
      <c r="D591" s="211"/>
      <c r="E591" s="211"/>
      <c r="F591" s="212"/>
      <c r="G591" s="48">
        <f>G590</f>
        <v>282321407</v>
      </c>
    </row>
    <row r="592" spans="1:12" s="40" customFormat="1" ht="14.25" customHeight="1" thickBot="1" x14ac:dyDescent="0.25">
      <c r="A592" s="273" t="s">
        <v>898</v>
      </c>
      <c r="B592" s="274"/>
      <c r="C592" s="274"/>
      <c r="D592" s="274"/>
      <c r="E592" s="274"/>
      <c r="F592" s="275"/>
      <c r="G592" s="161">
        <f>EVEN((G588+G589)*0.1)</f>
        <v>525029740</v>
      </c>
    </row>
    <row r="593" spans="1:7" s="40" customFormat="1" ht="14.25" customHeight="1" thickBot="1" x14ac:dyDescent="0.25">
      <c r="A593" s="273" t="s">
        <v>899</v>
      </c>
      <c r="B593" s="274"/>
      <c r="C593" s="274"/>
      <c r="D593" s="274"/>
      <c r="E593" s="274"/>
      <c r="F593" s="275"/>
      <c r="G593" s="161">
        <v>50940000</v>
      </c>
    </row>
    <row r="594" spans="1:7" s="40" customFormat="1" ht="14.25" customHeight="1" thickBot="1" x14ac:dyDescent="0.25">
      <c r="A594" s="273" t="s">
        <v>900</v>
      </c>
      <c r="B594" s="274"/>
      <c r="C594" s="274"/>
      <c r="D594" s="274"/>
      <c r="E594" s="274"/>
      <c r="F594" s="275"/>
      <c r="G594" s="161">
        <f>G592+G593</f>
        <v>575969740</v>
      </c>
    </row>
    <row r="595" spans="1:7" s="40" customFormat="1" ht="35.25" customHeight="1" thickBot="1" x14ac:dyDescent="0.25">
      <c r="A595" s="258" t="s">
        <v>901</v>
      </c>
      <c r="B595" s="259"/>
      <c r="C595" s="259"/>
      <c r="D595" s="259"/>
      <c r="E595" s="259"/>
      <c r="F595" s="260"/>
      <c r="G595" s="209">
        <f>G588+G589+G591+G594</f>
        <v>6108588531</v>
      </c>
    </row>
  </sheetData>
  <mergeCells count="76">
    <mergeCell ref="A590:C590"/>
    <mergeCell ref="A593:F593"/>
    <mergeCell ref="A594:F594"/>
    <mergeCell ref="A591:F591"/>
    <mergeCell ref="A587:F587"/>
    <mergeCell ref="A589:F589"/>
    <mergeCell ref="A592:F592"/>
    <mergeCell ref="A588:F588"/>
    <mergeCell ref="C449:E449"/>
    <mergeCell ref="C458:E458"/>
    <mergeCell ref="C462:E462"/>
    <mergeCell ref="A553:F553"/>
    <mergeCell ref="C469:E469"/>
    <mergeCell ref="C476:E476"/>
    <mergeCell ref="A595:F595"/>
    <mergeCell ref="C160:G160"/>
    <mergeCell ref="C84:G84"/>
    <mergeCell ref="A13:G13"/>
    <mergeCell ref="A20:F20"/>
    <mergeCell ref="A51:F51"/>
    <mergeCell ref="A21:G21"/>
    <mergeCell ref="A52:G52"/>
    <mergeCell ref="A136:G136"/>
    <mergeCell ref="A104:G104"/>
    <mergeCell ref="A103:F103"/>
    <mergeCell ref="A554:G554"/>
    <mergeCell ref="A234:F234"/>
    <mergeCell ref="A585:G585"/>
    <mergeCell ref="C231:G231"/>
    <mergeCell ref="A135:F135"/>
    <mergeCell ref="C392:G392"/>
    <mergeCell ref="A171:F171"/>
    <mergeCell ref="A172:G172"/>
    <mergeCell ref="C193:G193"/>
    <mergeCell ref="C198:G198"/>
    <mergeCell ref="A211:F211"/>
    <mergeCell ref="C205:F205"/>
    <mergeCell ref="C300:G300"/>
    <mergeCell ref="A308:F308"/>
    <mergeCell ref="A267:G267"/>
    <mergeCell ref="A235:G235"/>
    <mergeCell ref="A212:G212"/>
    <mergeCell ref="A266:F266"/>
    <mergeCell ref="A353:F353"/>
    <mergeCell ref="A327:G327"/>
    <mergeCell ref="A326:F326"/>
    <mergeCell ref="A309:G309"/>
    <mergeCell ref="A9:G9"/>
    <mergeCell ref="C2:F3"/>
    <mergeCell ref="C6:F7"/>
    <mergeCell ref="G2:G7"/>
    <mergeCell ref="C4:F5"/>
    <mergeCell ref="A2:B7"/>
    <mergeCell ref="C45:E45"/>
    <mergeCell ref="C95:E95"/>
    <mergeCell ref="A14:G14"/>
    <mergeCell ref="C127:G127"/>
    <mergeCell ref="C156:G156"/>
    <mergeCell ref="C39:E39"/>
    <mergeCell ref="C131:G131"/>
    <mergeCell ref="A584:F584"/>
    <mergeCell ref="A354:G354"/>
    <mergeCell ref="A446:G446"/>
    <mergeCell ref="A389:F389"/>
    <mergeCell ref="A447:G447"/>
    <mergeCell ref="A581:F581"/>
    <mergeCell ref="C402:E402"/>
    <mergeCell ref="A405:F405"/>
    <mergeCell ref="C425:E425"/>
    <mergeCell ref="C443:E443"/>
    <mergeCell ref="A390:C390"/>
    <mergeCell ref="A400:C400"/>
    <mergeCell ref="A406:C406"/>
    <mergeCell ref="C435:E435"/>
    <mergeCell ref="A445:F445"/>
    <mergeCell ref="A399:F399"/>
  </mergeCells>
  <phoneticPr fontId="0" type="noConversion"/>
  <printOptions horizontalCentered="1"/>
  <pageMargins left="0.70866141732283472" right="0.59055118110236227" top="0.55118110236220474" bottom="0.78740157480314965" header="0.31496062992125984" footer="0.31496062992125984"/>
  <pageSetup scale="60" fitToHeight="11" orientation="portrait" r:id="rId1"/>
  <headerFooter>
    <oddFooter>&amp;C__________________________________________________________________________________________________________________________________
ESTUDIOS TECNICOS Y CONSTRUCCIONES LTDA.</oddFooter>
  </headerFooter>
  <rowBreaks count="6" manualBreakCount="6">
    <brk id="80" max="6" man="1"/>
    <brk id="135" max="6" man="1"/>
    <brk id="211" max="6" man="1"/>
    <brk id="299" max="6" man="1"/>
    <brk id="353" max="6" man="1"/>
    <brk id="4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90" zoomScaleNormal="90" workbookViewId="0">
      <selection activeCell="J11" sqref="J11"/>
    </sheetView>
  </sheetViews>
  <sheetFormatPr baseColWidth="10" defaultColWidth="11.42578125" defaultRowHeight="14.25" customHeight="1" x14ac:dyDescent="0.2"/>
  <cols>
    <col min="1" max="1" width="13.140625" style="1" customWidth="1"/>
    <col min="2" max="2" width="48.28515625" style="1" customWidth="1"/>
    <col min="3" max="3" width="8.140625" style="1" customWidth="1"/>
    <col min="4" max="4" width="11.85546875" style="9" customWidth="1"/>
    <col min="5" max="5" width="11.42578125" style="9"/>
    <col min="6" max="6" width="19.5703125" style="1" customWidth="1"/>
    <col min="7" max="7" width="1.7109375" style="1" customWidth="1"/>
    <col min="8" max="8" width="11.42578125" style="1"/>
    <col min="9" max="9" width="15.85546875" style="1" customWidth="1"/>
    <col min="10" max="16384" width="11.42578125" style="1"/>
  </cols>
  <sheetData>
    <row r="1" spans="1:6" ht="12.75" x14ac:dyDescent="0.2">
      <c r="A1" s="294"/>
      <c r="B1" s="295"/>
      <c r="C1" s="295"/>
      <c r="D1" s="295"/>
      <c r="E1" s="295"/>
      <c r="F1" s="296"/>
    </row>
    <row r="2" spans="1:6" ht="16.5" x14ac:dyDescent="0.2">
      <c r="A2" s="297" t="s">
        <v>902</v>
      </c>
      <c r="B2" s="298"/>
      <c r="C2" s="298"/>
      <c r="D2" s="298"/>
      <c r="E2" s="298"/>
      <c r="F2" s="299"/>
    </row>
    <row r="3" spans="1:6" ht="16.5" x14ac:dyDescent="0.3">
      <c r="A3" s="297" t="s">
        <v>903</v>
      </c>
      <c r="B3" s="300"/>
      <c r="C3" s="300"/>
      <c r="D3" s="300"/>
      <c r="E3" s="300"/>
      <c r="F3" s="301"/>
    </row>
    <row r="4" spans="1:6" ht="30.75" customHeight="1" thickBot="1" x14ac:dyDescent="0.25">
      <c r="A4" s="297" t="s">
        <v>904</v>
      </c>
      <c r="B4" s="302"/>
      <c r="C4" s="302"/>
      <c r="D4" s="302"/>
      <c r="E4" s="302"/>
      <c r="F4" s="303"/>
    </row>
    <row r="5" spans="1:6" ht="12.75" x14ac:dyDescent="0.2">
      <c r="A5" s="304" t="s">
        <v>3</v>
      </c>
      <c r="B5" s="305"/>
      <c r="C5" s="305"/>
      <c r="D5" s="305"/>
      <c r="E5" s="305"/>
      <c r="F5" s="306"/>
    </row>
    <row r="6" spans="1:6" ht="12.75" x14ac:dyDescent="0.2">
      <c r="A6" s="291" t="s">
        <v>905</v>
      </c>
      <c r="B6" s="292"/>
      <c r="C6" s="292"/>
      <c r="D6" s="292"/>
      <c r="E6" s="292"/>
      <c r="F6" s="293"/>
    </row>
    <row r="7" spans="1:6" ht="12.75" x14ac:dyDescent="0.2">
      <c r="A7" s="291" t="s">
        <v>906</v>
      </c>
      <c r="B7" s="292"/>
      <c r="C7" s="292"/>
      <c r="D7" s="292"/>
      <c r="E7" s="292"/>
      <c r="F7" s="293"/>
    </row>
    <row r="8" spans="1:6" ht="12.75" x14ac:dyDescent="0.2">
      <c r="A8" s="307" t="s">
        <v>11</v>
      </c>
      <c r="B8" s="308"/>
      <c r="C8" s="308"/>
      <c r="D8" s="308"/>
      <c r="E8" s="308"/>
      <c r="F8" s="309"/>
    </row>
    <row r="9" spans="1:6" ht="25.5" x14ac:dyDescent="0.2">
      <c r="A9" s="23" t="s">
        <v>4</v>
      </c>
      <c r="B9" s="23" t="s">
        <v>6</v>
      </c>
      <c r="C9" s="23" t="s">
        <v>7</v>
      </c>
      <c r="D9" s="24" t="s">
        <v>8</v>
      </c>
      <c r="E9" s="25" t="s">
        <v>9</v>
      </c>
      <c r="F9" s="23" t="s">
        <v>10</v>
      </c>
    </row>
    <row r="10" spans="1:6" s="7" customFormat="1" ht="12.75" x14ac:dyDescent="0.2">
      <c r="A10" s="310" t="s">
        <v>907</v>
      </c>
      <c r="B10" s="311"/>
      <c r="C10" s="311"/>
      <c r="D10" s="311"/>
      <c r="E10" s="311"/>
      <c r="F10" s="312"/>
    </row>
    <row r="11" spans="1:6" s="32" customFormat="1" ht="25.5" x14ac:dyDescent="0.2">
      <c r="A11" s="34" t="s">
        <v>13</v>
      </c>
      <c r="B11" s="3" t="s">
        <v>908</v>
      </c>
      <c r="C11" s="4" t="s">
        <v>886</v>
      </c>
      <c r="D11" s="5">
        <v>1</v>
      </c>
      <c r="E11" s="6">
        <f>34676366*1.36</f>
        <v>47159857.760000005</v>
      </c>
      <c r="F11" s="14">
        <f>+D11*E11</f>
        <v>47159857.760000005</v>
      </c>
    </row>
    <row r="12" spans="1:6" s="7" customFormat="1" ht="12.75" x14ac:dyDescent="0.2">
      <c r="A12" s="21"/>
      <c r="B12" s="3"/>
      <c r="C12" s="4"/>
      <c r="D12" s="5"/>
      <c r="E12" s="6"/>
      <c r="F12" s="14"/>
    </row>
    <row r="13" spans="1:6" s="7" customFormat="1" ht="12.75" x14ac:dyDescent="0.2">
      <c r="A13" s="8">
        <v>1.2</v>
      </c>
      <c r="B13" s="282" t="s">
        <v>78</v>
      </c>
      <c r="C13" s="283"/>
      <c r="D13" s="284"/>
      <c r="E13" s="6"/>
      <c r="F13" s="14"/>
    </row>
    <row r="14" spans="1:6" s="7" customFormat="1" ht="12.75" x14ac:dyDescent="0.2">
      <c r="A14" s="8" t="s">
        <v>909</v>
      </c>
      <c r="B14" s="3" t="s">
        <v>910</v>
      </c>
      <c r="C14" s="4" t="s">
        <v>22</v>
      </c>
      <c r="D14" s="5">
        <v>2.65</v>
      </c>
      <c r="E14" s="6">
        <f>22078*1.36</f>
        <v>30026.080000000002</v>
      </c>
      <c r="F14" s="14">
        <f t="shared" ref="F14:F19" si="0">+D14*E14</f>
        <v>79569.112000000008</v>
      </c>
    </row>
    <row r="15" spans="1:6" s="7" customFormat="1" ht="12.75" x14ac:dyDescent="0.2">
      <c r="A15" s="8" t="s">
        <v>911</v>
      </c>
      <c r="B15" s="3" t="s">
        <v>525</v>
      </c>
      <c r="C15" s="4" t="s">
        <v>26</v>
      </c>
      <c r="D15" s="5">
        <v>1</v>
      </c>
      <c r="E15" s="6">
        <f>66563*1.36</f>
        <v>90525.680000000008</v>
      </c>
      <c r="F15" s="14">
        <f t="shared" si="0"/>
        <v>90525.680000000008</v>
      </c>
    </row>
    <row r="16" spans="1:6" s="7" customFormat="1" ht="12.75" x14ac:dyDescent="0.2">
      <c r="A16" s="8" t="s">
        <v>912</v>
      </c>
      <c r="B16" s="3" t="s">
        <v>528</v>
      </c>
      <c r="C16" s="4" t="s">
        <v>26</v>
      </c>
      <c r="D16" s="33">
        <v>1</v>
      </c>
      <c r="E16" s="6">
        <f>(263884*2)*1.136</f>
        <v>599544.44799999997</v>
      </c>
      <c r="F16" s="14">
        <f t="shared" si="0"/>
        <v>599544.44799999997</v>
      </c>
    </row>
    <row r="17" spans="1:8" s="7" customFormat="1" ht="12.75" x14ac:dyDescent="0.2">
      <c r="A17" s="8" t="s">
        <v>913</v>
      </c>
      <c r="B17" s="3" t="s">
        <v>914</v>
      </c>
      <c r="C17" s="4" t="s">
        <v>22</v>
      </c>
      <c r="D17" s="12">
        <v>8.6</v>
      </c>
      <c r="E17" s="6">
        <f>+(48209*1.36)</f>
        <v>65564.240000000005</v>
      </c>
      <c r="F17" s="14">
        <f t="shared" si="0"/>
        <v>563852.46400000004</v>
      </c>
    </row>
    <row r="18" spans="1:8" s="7" customFormat="1" ht="12.75" x14ac:dyDescent="0.2">
      <c r="A18" s="8" t="s">
        <v>915</v>
      </c>
      <c r="B18" s="3" t="s">
        <v>916</v>
      </c>
      <c r="C18" s="4" t="s">
        <v>26</v>
      </c>
      <c r="D18" s="12">
        <v>3</v>
      </c>
      <c r="E18" s="6">
        <f>177200*1.36</f>
        <v>240992.00000000003</v>
      </c>
      <c r="F18" s="14">
        <f t="shared" si="0"/>
        <v>722976.00000000012</v>
      </c>
    </row>
    <row r="19" spans="1:8" s="7" customFormat="1" ht="12.75" x14ac:dyDescent="0.2">
      <c r="A19" s="8" t="s">
        <v>917</v>
      </c>
      <c r="B19" s="3" t="s">
        <v>537</v>
      </c>
      <c r="C19" s="4" t="s">
        <v>26</v>
      </c>
      <c r="D19" s="12">
        <v>1</v>
      </c>
      <c r="E19" s="6">
        <f>1131696*1.36</f>
        <v>1539106.56</v>
      </c>
      <c r="F19" s="14">
        <f t="shared" si="0"/>
        <v>1539106.56</v>
      </c>
    </row>
    <row r="20" spans="1:8" s="7" customFormat="1" ht="13.5" thickBot="1" x14ac:dyDescent="0.25">
      <c r="A20" s="279" t="s">
        <v>30</v>
      </c>
      <c r="B20" s="280"/>
      <c r="C20" s="280"/>
      <c r="D20" s="280"/>
      <c r="E20" s="281"/>
      <c r="F20" s="14">
        <f>SUM(F11:F19)</f>
        <v>50755432.024000011</v>
      </c>
    </row>
    <row r="21" spans="1:8" s="7" customFormat="1" ht="12.75" x14ac:dyDescent="0.2">
      <c r="A21" s="288" t="s">
        <v>918</v>
      </c>
      <c r="B21" s="289"/>
      <c r="C21" s="289"/>
      <c r="D21" s="289"/>
      <c r="E21" s="289"/>
      <c r="F21" s="290"/>
    </row>
    <row r="22" spans="1:8" s="7" customFormat="1" ht="12.75" x14ac:dyDescent="0.2">
      <c r="A22" s="8">
        <v>2.1</v>
      </c>
      <c r="B22" s="3" t="s">
        <v>919</v>
      </c>
      <c r="C22" s="4" t="s">
        <v>26</v>
      </c>
      <c r="D22" s="5">
        <v>1</v>
      </c>
      <c r="E22" s="6">
        <f>18816352*1.36</f>
        <v>25590238.720000003</v>
      </c>
      <c r="F22" s="14">
        <f>+D22*E22</f>
        <v>25590238.720000003</v>
      </c>
      <c r="H22" s="22"/>
    </row>
    <row r="23" spans="1:8" s="7" customFormat="1" ht="12.75" x14ac:dyDescent="0.2">
      <c r="A23" s="8"/>
      <c r="B23" s="3"/>
      <c r="C23" s="4"/>
      <c r="D23" s="5"/>
      <c r="E23" s="6"/>
      <c r="F23" s="14"/>
      <c r="H23" s="22"/>
    </row>
    <row r="24" spans="1:8" s="7" customFormat="1" ht="12.75" x14ac:dyDescent="0.2">
      <c r="A24" s="8">
        <v>2.2000000000000002</v>
      </c>
      <c r="B24" s="282" t="s">
        <v>78</v>
      </c>
      <c r="C24" s="283"/>
      <c r="D24" s="284"/>
      <c r="E24" s="6"/>
      <c r="F24" s="14"/>
      <c r="H24" s="22"/>
    </row>
    <row r="25" spans="1:8" s="7" customFormat="1" ht="12.75" x14ac:dyDescent="0.2">
      <c r="A25" s="8" t="s">
        <v>44</v>
      </c>
      <c r="B25" s="3" t="s">
        <v>920</v>
      </c>
      <c r="C25" s="4" t="s">
        <v>22</v>
      </c>
      <c r="D25" s="5">
        <v>4.7</v>
      </c>
      <c r="E25" s="6">
        <f>+(22078*1.36)</f>
        <v>30026.080000000002</v>
      </c>
      <c r="F25" s="14">
        <f>+D25*E25</f>
        <v>141122.576</v>
      </c>
      <c r="H25" s="22"/>
    </row>
    <row r="26" spans="1:8" s="7" customFormat="1" ht="12.75" x14ac:dyDescent="0.2">
      <c r="A26" s="8" t="s">
        <v>921</v>
      </c>
      <c r="B26" s="3" t="s">
        <v>542</v>
      </c>
      <c r="C26" s="4" t="s">
        <v>26</v>
      </c>
      <c r="D26" s="5">
        <v>1</v>
      </c>
      <c r="E26" s="6">
        <f>66363*1.36</f>
        <v>90253.680000000008</v>
      </c>
      <c r="F26" s="14">
        <f>+D26*E26</f>
        <v>90253.680000000008</v>
      </c>
      <c r="H26" s="22"/>
    </row>
    <row r="27" spans="1:8" s="7" customFormat="1" ht="13.5" thickBot="1" x14ac:dyDescent="0.25">
      <c r="A27" s="279" t="s">
        <v>30</v>
      </c>
      <c r="B27" s="280"/>
      <c r="C27" s="280"/>
      <c r="D27" s="280"/>
      <c r="E27" s="281"/>
      <c r="F27" s="14">
        <f>SUM(F21:F26)</f>
        <v>25821614.976000004</v>
      </c>
    </row>
    <row r="28" spans="1:8" s="7" customFormat="1" ht="12.75" x14ac:dyDescent="0.2">
      <c r="A28" s="288" t="s">
        <v>922</v>
      </c>
      <c r="B28" s="289"/>
      <c r="C28" s="289"/>
      <c r="D28" s="289"/>
      <c r="E28" s="289"/>
      <c r="F28" s="290"/>
    </row>
    <row r="29" spans="1:8" s="7" customFormat="1" ht="12.75" x14ac:dyDescent="0.2">
      <c r="A29" s="21"/>
      <c r="B29" s="3"/>
      <c r="C29" s="4"/>
      <c r="D29" s="5"/>
      <c r="E29" s="6"/>
      <c r="F29" s="14"/>
    </row>
    <row r="30" spans="1:8" s="7" customFormat="1" ht="14.25" customHeight="1" x14ac:dyDescent="0.2">
      <c r="A30" s="8">
        <v>3.1</v>
      </c>
      <c r="B30" s="2" t="s">
        <v>32</v>
      </c>
      <c r="C30" s="4"/>
      <c r="D30" s="5"/>
      <c r="E30" s="6"/>
      <c r="F30" s="14"/>
      <c r="H30" s="22"/>
    </row>
    <row r="31" spans="1:8" s="7" customFormat="1" ht="14.25" customHeight="1" x14ac:dyDescent="0.2">
      <c r="A31" s="21" t="s">
        <v>88</v>
      </c>
      <c r="B31" s="3" t="s">
        <v>35</v>
      </c>
      <c r="C31" s="4" t="s">
        <v>923</v>
      </c>
      <c r="D31" s="5">
        <v>202.96</v>
      </c>
      <c r="E31" s="6">
        <v>5941</v>
      </c>
      <c r="F31" s="14">
        <f>+D31*E31</f>
        <v>1205785.3600000001</v>
      </c>
    </row>
    <row r="32" spans="1:8" s="7" customFormat="1" ht="14.25" customHeight="1" x14ac:dyDescent="0.2">
      <c r="A32" s="21" t="s">
        <v>89</v>
      </c>
      <c r="B32" s="3" t="s">
        <v>38</v>
      </c>
      <c r="C32" s="4" t="s">
        <v>924</v>
      </c>
      <c r="D32" s="5">
        <v>284.14400000000001</v>
      </c>
      <c r="E32" s="6">
        <v>16908</v>
      </c>
      <c r="F32" s="14">
        <f t="shared" ref="F32:F49" si="1">+D32*E32</f>
        <v>4804306.7520000003</v>
      </c>
    </row>
    <row r="33" spans="1:6" s="7" customFormat="1" ht="14.25" hidden="1" customHeight="1" x14ac:dyDescent="0.2">
      <c r="A33" s="21" t="s">
        <v>925</v>
      </c>
      <c r="B33" s="3" t="s">
        <v>926</v>
      </c>
      <c r="C33" s="4" t="s">
        <v>924</v>
      </c>
      <c r="D33" s="5"/>
      <c r="E33" s="6">
        <v>22055</v>
      </c>
      <c r="F33" s="14">
        <f t="shared" si="1"/>
        <v>0</v>
      </c>
    </row>
    <row r="34" spans="1:6" s="7" customFormat="1" ht="14.25" hidden="1" customHeight="1" x14ac:dyDescent="0.2">
      <c r="A34" s="21" t="s">
        <v>927</v>
      </c>
      <c r="B34" s="3" t="s">
        <v>338</v>
      </c>
      <c r="C34" s="4" t="s">
        <v>39</v>
      </c>
      <c r="D34" s="5"/>
      <c r="E34" s="6">
        <v>32348</v>
      </c>
      <c r="F34" s="14"/>
    </row>
    <row r="35" spans="1:6" s="7" customFormat="1" ht="14.25" customHeight="1" x14ac:dyDescent="0.2">
      <c r="A35" s="21" t="s">
        <v>928</v>
      </c>
      <c r="B35" s="3" t="s">
        <v>42</v>
      </c>
      <c r="C35" s="4" t="s">
        <v>924</v>
      </c>
      <c r="D35" s="5">
        <f>+D32-D38</f>
        <v>178.19200000000001</v>
      </c>
      <c r="E35" s="6">
        <v>16500</v>
      </c>
      <c r="F35" s="14">
        <f t="shared" si="1"/>
        <v>2940168</v>
      </c>
    </row>
    <row r="36" spans="1:6" s="7" customFormat="1" ht="14.25" customHeight="1" x14ac:dyDescent="0.2">
      <c r="A36" s="21"/>
      <c r="B36" s="3"/>
      <c r="C36" s="4"/>
      <c r="D36" s="5"/>
      <c r="E36" s="6"/>
      <c r="F36" s="14"/>
    </row>
    <row r="37" spans="1:6" s="7" customFormat="1" ht="14.25" customHeight="1" x14ac:dyDescent="0.2">
      <c r="A37" s="8">
        <v>3.2</v>
      </c>
      <c r="B37" s="2" t="s">
        <v>43</v>
      </c>
      <c r="C37" s="4"/>
      <c r="D37" s="5"/>
      <c r="E37" s="6"/>
      <c r="F37" s="14"/>
    </row>
    <row r="38" spans="1:6" s="7" customFormat="1" ht="14.25" customHeight="1" x14ac:dyDescent="0.2">
      <c r="A38" s="21" t="s">
        <v>92</v>
      </c>
      <c r="B38" s="3" t="s">
        <v>46</v>
      </c>
      <c r="C38" s="4" t="s">
        <v>924</v>
      </c>
      <c r="D38" s="5">
        <v>105.95200000000001</v>
      </c>
      <c r="E38" s="6">
        <v>14749</v>
      </c>
      <c r="F38" s="14">
        <f t="shared" si="1"/>
        <v>1562686.0480000002</v>
      </c>
    </row>
    <row r="39" spans="1:6" s="20" customFormat="1" ht="14.25" customHeight="1" x14ac:dyDescent="0.2">
      <c r="A39" s="16"/>
      <c r="B39" s="17"/>
      <c r="C39" s="18"/>
      <c r="D39" s="19"/>
      <c r="E39" s="15"/>
      <c r="F39" s="27"/>
    </row>
    <row r="40" spans="1:6" s="7" customFormat="1" ht="14.25" customHeight="1" x14ac:dyDescent="0.2">
      <c r="A40" s="8">
        <v>3.3</v>
      </c>
      <c r="B40" s="2" t="s">
        <v>47</v>
      </c>
      <c r="C40" s="4"/>
      <c r="D40" s="5"/>
      <c r="E40" s="6"/>
      <c r="F40" s="14"/>
    </row>
    <row r="41" spans="1:6" s="7" customFormat="1" ht="14.25" customHeight="1" x14ac:dyDescent="0.2">
      <c r="A41" s="21" t="s">
        <v>99</v>
      </c>
      <c r="B41" s="3" t="s">
        <v>50</v>
      </c>
      <c r="C41" s="4" t="s">
        <v>924</v>
      </c>
      <c r="D41" s="5">
        <v>2.258</v>
      </c>
      <c r="E41" s="6">
        <v>269460</v>
      </c>
      <c r="F41" s="14">
        <f t="shared" si="1"/>
        <v>608440.68000000005</v>
      </c>
    </row>
    <row r="42" spans="1:6" s="7" customFormat="1" ht="14.25" customHeight="1" x14ac:dyDescent="0.2">
      <c r="A42" s="21" t="s">
        <v>100</v>
      </c>
      <c r="B42" s="3" t="s">
        <v>549</v>
      </c>
      <c r="C42" s="4" t="s">
        <v>924</v>
      </c>
      <c r="D42" s="5">
        <v>5.879999999999999</v>
      </c>
      <c r="E42" s="6">
        <v>444591</v>
      </c>
      <c r="F42" s="14">
        <f t="shared" si="1"/>
        <v>2614195.0799999996</v>
      </c>
    </row>
    <row r="43" spans="1:6" s="7" customFormat="1" ht="14.25" customHeight="1" x14ac:dyDescent="0.2">
      <c r="A43" s="21" t="s">
        <v>102</v>
      </c>
      <c r="B43" s="3" t="s">
        <v>551</v>
      </c>
      <c r="C43" s="4" t="s">
        <v>924</v>
      </c>
      <c r="D43" s="5">
        <v>8.3500000000000014</v>
      </c>
      <c r="E43" s="6">
        <f>+E45</f>
        <v>494091</v>
      </c>
      <c r="F43" s="14">
        <f t="shared" si="1"/>
        <v>4125659.8500000006</v>
      </c>
    </row>
    <row r="44" spans="1:6" s="7" customFormat="1" ht="14.25" customHeight="1" x14ac:dyDescent="0.2">
      <c r="A44" s="21" t="s">
        <v>103</v>
      </c>
      <c r="B44" s="3" t="s">
        <v>553</v>
      </c>
      <c r="C44" s="4" t="s">
        <v>924</v>
      </c>
      <c r="D44" s="5">
        <v>1.2500000000000002E-2</v>
      </c>
      <c r="E44" s="6">
        <f>+E46</f>
        <v>444591</v>
      </c>
      <c r="F44" s="14">
        <f t="shared" si="1"/>
        <v>5557.3875000000007</v>
      </c>
    </row>
    <row r="45" spans="1:6" s="7" customFormat="1" ht="14.25" customHeight="1" x14ac:dyDescent="0.2">
      <c r="A45" s="21" t="s">
        <v>105</v>
      </c>
      <c r="B45" s="3" t="s">
        <v>56</v>
      </c>
      <c r="C45" s="4" t="s">
        <v>39</v>
      </c>
      <c r="D45" s="5">
        <v>3.762</v>
      </c>
      <c r="E45" s="6">
        <v>494091</v>
      </c>
      <c r="F45" s="14">
        <f t="shared" si="1"/>
        <v>1858770.3419999999</v>
      </c>
    </row>
    <row r="46" spans="1:6" s="7" customFormat="1" ht="14.25" customHeight="1" x14ac:dyDescent="0.2">
      <c r="A46" s="21" t="s">
        <v>106</v>
      </c>
      <c r="B46" s="3" t="s">
        <v>556</v>
      </c>
      <c r="C46" s="4" t="s">
        <v>39</v>
      </c>
      <c r="D46" s="5">
        <v>17.716000000000001</v>
      </c>
      <c r="E46" s="6">
        <v>444591</v>
      </c>
      <c r="F46" s="14">
        <f t="shared" si="1"/>
        <v>7876374.1560000004</v>
      </c>
    </row>
    <row r="47" spans="1:6" s="20" customFormat="1" ht="14.25" customHeight="1" x14ac:dyDescent="0.2">
      <c r="A47" s="16"/>
      <c r="B47" s="17"/>
      <c r="C47" s="18"/>
      <c r="D47" s="19"/>
      <c r="E47" s="15"/>
      <c r="F47" s="27"/>
    </row>
    <row r="48" spans="1:6" s="7" customFormat="1" ht="14.25" customHeight="1" x14ac:dyDescent="0.2">
      <c r="A48" s="8">
        <v>3.4</v>
      </c>
      <c r="B48" s="2" t="s">
        <v>60</v>
      </c>
      <c r="C48" s="4"/>
      <c r="D48" s="5"/>
      <c r="E48" s="6"/>
      <c r="F48" s="14"/>
    </row>
    <row r="49" spans="1:6" s="7" customFormat="1" ht="14.25" customHeight="1" x14ac:dyDescent="0.2">
      <c r="A49" s="21" t="s">
        <v>109</v>
      </c>
      <c r="B49" s="3" t="s">
        <v>929</v>
      </c>
      <c r="C49" s="4" t="s">
        <v>64</v>
      </c>
      <c r="D49" s="5">
        <v>1779</v>
      </c>
      <c r="E49" s="6">
        <v>3903</v>
      </c>
      <c r="F49" s="14">
        <f t="shared" si="1"/>
        <v>6943437</v>
      </c>
    </row>
    <row r="50" spans="1:6" s="7" customFormat="1" ht="14.25" customHeight="1" x14ac:dyDescent="0.2">
      <c r="A50" s="8"/>
      <c r="B50" s="282"/>
      <c r="C50" s="283"/>
      <c r="D50" s="284"/>
      <c r="E50" s="6"/>
      <c r="F50" s="14"/>
    </row>
    <row r="51" spans="1:6" s="7" customFormat="1" ht="14.25" customHeight="1" x14ac:dyDescent="0.2">
      <c r="A51" s="8">
        <v>3.5</v>
      </c>
      <c r="B51" s="28" t="s">
        <v>558</v>
      </c>
      <c r="C51" s="29"/>
      <c r="D51" s="31"/>
      <c r="E51" s="6"/>
      <c r="F51" s="14"/>
    </row>
    <row r="52" spans="1:6" s="7" customFormat="1" ht="14.25" customHeight="1" x14ac:dyDescent="0.2">
      <c r="A52" s="8" t="s">
        <v>111</v>
      </c>
      <c r="B52" s="3" t="s">
        <v>357</v>
      </c>
      <c r="C52" s="4" t="s">
        <v>923</v>
      </c>
      <c r="D52" s="5">
        <v>110.952</v>
      </c>
      <c r="E52" s="6">
        <v>34194</v>
      </c>
      <c r="F52" s="14">
        <f>+D52*E52</f>
        <v>3793892.6880000001</v>
      </c>
    </row>
    <row r="53" spans="1:6" s="7" customFormat="1" ht="14.25" customHeight="1" x14ac:dyDescent="0.2">
      <c r="A53" s="8" t="s">
        <v>114</v>
      </c>
      <c r="B53" s="3" t="s">
        <v>366</v>
      </c>
      <c r="C53" s="4" t="s">
        <v>18</v>
      </c>
      <c r="D53" s="5">
        <v>213.31520000000003</v>
      </c>
      <c r="E53" s="6">
        <v>73844</v>
      </c>
      <c r="F53" s="14">
        <f>+D53*E53</f>
        <v>15752047.628800003</v>
      </c>
    </row>
    <row r="54" spans="1:6" s="7" customFormat="1" ht="14.25" customHeight="1" x14ac:dyDescent="0.2">
      <c r="A54" s="8" t="s">
        <v>117</v>
      </c>
      <c r="B54" s="3" t="s">
        <v>930</v>
      </c>
      <c r="C54" s="4" t="s">
        <v>18</v>
      </c>
      <c r="D54" s="5">
        <f>+D52*0.5</f>
        <v>55.475999999999999</v>
      </c>
      <c r="E54" s="6">
        <v>53450</v>
      </c>
      <c r="F54" s="14">
        <f>+D54*E54</f>
        <v>2965192.1999999997</v>
      </c>
    </row>
    <row r="55" spans="1:6" s="7" customFormat="1" ht="14.25" customHeight="1" x14ac:dyDescent="0.2">
      <c r="A55" s="8"/>
      <c r="B55" s="28"/>
      <c r="C55" s="29"/>
      <c r="D55" s="31"/>
      <c r="E55" s="6"/>
      <c r="F55" s="14"/>
    </row>
    <row r="56" spans="1:6" s="7" customFormat="1" ht="14.25" customHeight="1" x14ac:dyDescent="0.2">
      <c r="A56" s="8">
        <v>3.6</v>
      </c>
      <c r="B56" s="28" t="s">
        <v>564</v>
      </c>
      <c r="C56" s="29"/>
      <c r="D56" s="31"/>
      <c r="E56" s="6"/>
      <c r="F56" s="14"/>
    </row>
    <row r="57" spans="1:6" s="7" customFormat="1" ht="14.25" customHeight="1" x14ac:dyDescent="0.2">
      <c r="A57" s="8" t="s">
        <v>138</v>
      </c>
      <c r="B57" s="3" t="s">
        <v>567</v>
      </c>
      <c r="C57" s="4" t="s">
        <v>39</v>
      </c>
      <c r="D57" s="5">
        <v>88.425000000000011</v>
      </c>
      <c r="E57" s="6">
        <f>35200*1.36</f>
        <v>47872</v>
      </c>
      <c r="F57" s="14">
        <f>+D57*E57</f>
        <v>4233081.6000000006</v>
      </c>
    </row>
    <row r="58" spans="1:6" s="7" customFormat="1" ht="14.25" customHeight="1" x14ac:dyDescent="0.2">
      <c r="A58" s="8" t="s">
        <v>141</v>
      </c>
      <c r="B58" s="3" t="s">
        <v>570</v>
      </c>
      <c r="C58" s="4" t="s">
        <v>39</v>
      </c>
      <c r="D58" s="5">
        <v>75.325000000000003</v>
      </c>
      <c r="E58" s="6">
        <f>82000*1.36</f>
        <v>111520.00000000001</v>
      </c>
      <c r="F58" s="14">
        <f>+D58*E58</f>
        <v>8400244.0000000019</v>
      </c>
    </row>
    <row r="59" spans="1:6" s="7" customFormat="1" ht="14.25" customHeight="1" x14ac:dyDescent="0.2">
      <c r="A59" s="8"/>
      <c r="B59" s="28"/>
      <c r="C59" s="29"/>
      <c r="D59" s="31"/>
      <c r="E59" s="6"/>
      <c r="F59" s="14"/>
    </row>
    <row r="60" spans="1:6" s="7" customFormat="1" ht="14.25" customHeight="1" x14ac:dyDescent="0.2">
      <c r="A60" s="8">
        <v>3.7</v>
      </c>
      <c r="B60" s="28" t="s">
        <v>571</v>
      </c>
      <c r="C60" s="29"/>
      <c r="D60" s="31"/>
      <c r="E60" s="6"/>
      <c r="F60" s="14"/>
    </row>
    <row r="61" spans="1:6" s="7" customFormat="1" ht="14.25" customHeight="1" x14ac:dyDescent="0.2">
      <c r="A61" s="8" t="s">
        <v>165</v>
      </c>
      <c r="B61" s="3" t="s">
        <v>931</v>
      </c>
      <c r="C61" s="4" t="s">
        <v>26</v>
      </c>
      <c r="D61" s="5">
        <v>10</v>
      </c>
      <c r="E61" s="6">
        <f>175000*1.36</f>
        <v>238000.00000000003</v>
      </c>
      <c r="F61" s="14">
        <f t="shared" ref="F61:F66" si="2">+D61*E61</f>
        <v>2380000.0000000005</v>
      </c>
    </row>
    <row r="62" spans="1:6" s="7" customFormat="1" ht="14.25" customHeight="1" x14ac:dyDescent="0.2">
      <c r="A62" s="8" t="s">
        <v>932</v>
      </c>
      <c r="B62" s="3" t="s">
        <v>933</v>
      </c>
      <c r="C62" s="4" t="s">
        <v>26</v>
      </c>
      <c r="D62" s="5">
        <v>50</v>
      </c>
      <c r="E62" s="6">
        <f>16767*1.36</f>
        <v>22803.120000000003</v>
      </c>
      <c r="F62" s="14">
        <f t="shared" si="2"/>
        <v>1140156.0000000002</v>
      </c>
    </row>
    <row r="63" spans="1:6" s="7" customFormat="1" ht="14.25" customHeight="1" x14ac:dyDescent="0.2">
      <c r="A63" s="8" t="s">
        <v>934</v>
      </c>
      <c r="B63" s="3" t="s">
        <v>935</v>
      </c>
      <c r="C63" s="4" t="s">
        <v>26</v>
      </c>
      <c r="D63" s="5">
        <v>20</v>
      </c>
      <c r="E63" s="6">
        <f>66363*1.36</f>
        <v>90253.680000000008</v>
      </c>
      <c r="F63" s="14">
        <f t="shared" si="2"/>
        <v>1805073.6</v>
      </c>
    </row>
    <row r="64" spans="1:6" s="7" customFormat="1" ht="14.25" customHeight="1" x14ac:dyDescent="0.2">
      <c r="A64" s="8" t="s">
        <v>936</v>
      </c>
      <c r="B64" s="3" t="s">
        <v>937</v>
      </c>
      <c r="C64" s="4" t="s">
        <v>26</v>
      </c>
      <c r="D64" s="5">
        <v>10</v>
      </c>
      <c r="E64" s="6">
        <f>129591*1.36</f>
        <v>176243.76</v>
      </c>
      <c r="F64" s="14">
        <f t="shared" si="2"/>
        <v>1762437.6</v>
      </c>
    </row>
    <row r="65" spans="1:6" s="7" customFormat="1" ht="14.25" customHeight="1" x14ac:dyDescent="0.2">
      <c r="A65" s="8" t="s">
        <v>938</v>
      </c>
      <c r="B65" s="3" t="s">
        <v>939</v>
      </c>
      <c r="C65" s="4" t="s">
        <v>582</v>
      </c>
      <c r="D65" s="5">
        <v>44.12</v>
      </c>
      <c r="E65" s="6">
        <f>22078*1.2</f>
        <v>26493.599999999999</v>
      </c>
      <c r="F65" s="14">
        <f t="shared" si="2"/>
        <v>1168897.632</v>
      </c>
    </row>
    <row r="66" spans="1:6" s="7" customFormat="1" ht="14.25" customHeight="1" x14ac:dyDescent="0.2">
      <c r="A66" s="8" t="s">
        <v>940</v>
      </c>
      <c r="B66" s="3" t="s">
        <v>941</v>
      </c>
      <c r="C66" s="4" t="s">
        <v>582</v>
      </c>
      <c r="D66" s="5">
        <v>199.59999999999997</v>
      </c>
      <c r="E66" s="6">
        <f>22078*1.3</f>
        <v>28701.4</v>
      </c>
      <c r="F66" s="14">
        <f t="shared" si="2"/>
        <v>5728799.4399999995</v>
      </c>
    </row>
    <row r="67" spans="1:6" s="7" customFormat="1" ht="14.25" customHeight="1" x14ac:dyDescent="0.2">
      <c r="A67" s="26"/>
      <c r="B67" s="10"/>
      <c r="C67" s="11"/>
      <c r="D67" s="12"/>
      <c r="E67" s="13"/>
      <c r="F67" s="14"/>
    </row>
    <row r="68" spans="1:6" s="7" customFormat="1" ht="14.25" customHeight="1" x14ac:dyDescent="0.2">
      <c r="A68" s="26">
        <v>3.8</v>
      </c>
      <c r="B68" s="282" t="s">
        <v>78</v>
      </c>
      <c r="C68" s="283"/>
      <c r="D68" s="284"/>
      <c r="E68" s="13"/>
      <c r="F68" s="14"/>
    </row>
    <row r="69" spans="1:6" s="7" customFormat="1" ht="14.25" customHeight="1" x14ac:dyDescent="0.2">
      <c r="A69" s="26" t="s">
        <v>942</v>
      </c>
      <c r="B69" s="3" t="s">
        <v>943</v>
      </c>
      <c r="C69" s="11" t="s">
        <v>22</v>
      </c>
      <c r="D69" s="12">
        <v>18.25</v>
      </c>
      <c r="E69" s="13">
        <f>+(48209*1.36)</f>
        <v>65564.240000000005</v>
      </c>
      <c r="F69" s="14">
        <f>+D69*E69</f>
        <v>1196547.3800000001</v>
      </c>
    </row>
    <row r="70" spans="1:6" s="7" customFormat="1" ht="14.25" customHeight="1" thickBot="1" x14ac:dyDescent="0.25">
      <c r="A70" s="279" t="s">
        <v>30</v>
      </c>
      <c r="B70" s="280"/>
      <c r="C70" s="280"/>
      <c r="D70" s="280"/>
      <c r="E70" s="281"/>
      <c r="F70" s="14">
        <f>SUM(F29:F69)</f>
        <v>84871750.424299985</v>
      </c>
    </row>
    <row r="71" spans="1:6" s="20" customFormat="1" ht="15.75" customHeight="1" thickBot="1" x14ac:dyDescent="0.25">
      <c r="A71" s="285" t="s">
        <v>944</v>
      </c>
      <c r="B71" s="286"/>
      <c r="C71" s="286"/>
      <c r="D71" s="286"/>
      <c r="E71" s="287"/>
      <c r="F71" s="30">
        <f>+F70+F27+F20</f>
        <v>161448797.42430001</v>
      </c>
    </row>
  </sheetData>
  <mergeCells count="19">
    <mergeCell ref="A6:F6"/>
    <mergeCell ref="A28:F28"/>
    <mergeCell ref="A27:E27"/>
    <mergeCell ref="A1:F1"/>
    <mergeCell ref="A2:F2"/>
    <mergeCell ref="A3:F3"/>
    <mergeCell ref="A4:F4"/>
    <mergeCell ref="A5:F5"/>
    <mergeCell ref="A7:F7"/>
    <mergeCell ref="A8:F8"/>
    <mergeCell ref="A10:F10"/>
    <mergeCell ref="A70:E70"/>
    <mergeCell ref="B13:D13"/>
    <mergeCell ref="A71:E71"/>
    <mergeCell ref="B24:D24"/>
    <mergeCell ref="B68:D68"/>
    <mergeCell ref="A20:E20"/>
    <mergeCell ref="A21:F21"/>
    <mergeCell ref="B50:D50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F7" sqref="F7"/>
    </sheetView>
  </sheetViews>
  <sheetFormatPr baseColWidth="10" defaultColWidth="11.42578125" defaultRowHeight="15" x14ac:dyDescent="0.25"/>
  <cols>
    <col min="2" max="2" width="41.7109375" customWidth="1"/>
  </cols>
  <sheetData>
    <row r="2" spans="1:8" s="7" customFormat="1" ht="14.25" customHeight="1" x14ac:dyDescent="0.2">
      <c r="A2" s="8">
        <v>15.7</v>
      </c>
      <c r="B2" s="2" t="s">
        <v>945</v>
      </c>
      <c r="C2" s="4"/>
      <c r="D2" s="5"/>
      <c r="E2" s="6"/>
      <c r="F2" s="14"/>
    </row>
    <row r="3" spans="1:8" s="7" customFormat="1" ht="14.25" customHeight="1" x14ac:dyDescent="0.2">
      <c r="A3" s="8" t="s">
        <v>572</v>
      </c>
      <c r="B3" s="3" t="s">
        <v>946</v>
      </c>
      <c r="C3" s="4" t="s">
        <v>26</v>
      </c>
      <c r="D3" s="5">
        <v>1</v>
      </c>
      <c r="E3" s="6">
        <v>254800000</v>
      </c>
      <c r="F3" s="14">
        <f t="shared" ref="F3:F8" si="0">+D3*E3</f>
        <v>254800000</v>
      </c>
    </row>
    <row r="4" spans="1:8" s="7" customFormat="1" ht="14.25" customHeight="1" x14ac:dyDescent="0.2">
      <c r="A4" s="8" t="s">
        <v>574</v>
      </c>
      <c r="B4" s="3" t="s">
        <v>947</v>
      </c>
      <c r="C4" s="4" t="s">
        <v>26</v>
      </c>
      <c r="D4" s="5">
        <v>1</v>
      </c>
      <c r="E4" s="6">
        <v>238302070</v>
      </c>
      <c r="F4" s="14">
        <f t="shared" si="0"/>
        <v>238302070</v>
      </c>
      <c r="H4" s="313"/>
    </row>
    <row r="5" spans="1:8" s="7" customFormat="1" ht="14.25" customHeight="1" x14ac:dyDescent="0.2">
      <c r="A5" s="8" t="s">
        <v>576</v>
      </c>
      <c r="B5" s="3" t="s">
        <v>948</v>
      </c>
      <c r="C5" s="4" t="s">
        <v>26</v>
      </c>
      <c r="D5" s="5">
        <v>1</v>
      </c>
      <c r="E5" s="6">
        <v>9861521</v>
      </c>
      <c r="F5" s="14">
        <f t="shared" si="0"/>
        <v>9861521</v>
      </c>
      <c r="H5" s="313"/>
    </row>
    <row r="6" spans="1:8" s="7" customFormat="1" ht="14.25" customHeight="1" x14ac:dyDescent="0.2">
      <c r="A6" s="8" t="s">
        <v>578</v>
      </c>
      <c r="B6" s="3" t="s">
        <v>949</v>
      </c>
      <c r="C6" s="4" t="s">
        <v>26</v>
      </c>
      <c r="D6" s="5">
        <v>1</v>
      </c>
      <c r="E6" s="6">
        <v>24713190</v>
      </c>
      <c r="F6" s="14">
        <f t="shared" si="0"/>
        <v>24713190</v>
      </c>
      <c r="H6" s="313"/>
    </row>
    <row r="7" spans="1:8" s="7" customFormat="1" ht="14.25" customHeight="1" x14ac:dyDescent="0.2">
      <c r="A7" s="8" t="s">
        <v>580</v>
      </c>
      <c r="B7" s="10" t="s">
        <v>950</v>
      </c>
      <c r="C7" s="4" t="s">
        <v>26</v>
      </c>
      <c r="D7" s="5">
        <v>2</v>
      </c>
      <c r="E7" s="6">
        <v>10217728</v>
      </c>
      <c r="F7" s="14">
        <f t="shared" si="0"/>
        <v>20435456</v>
      </c>
      <c r="H7" s="313"/>
    </row>
    <row r="8" spans="1:8" s="7" customFormat="1" ht="14.25" customHeight="1" x14ac:dyDescent="0.2">
      <c r="A8" s="8" t="s">
        <v>583</v>
      </c>
      <c r="B8" s="10" t="s">
        <v>951</v>
      </c>
      <c r="C8" s="4" t="s">
        <v>26</v>
      </c>
      <c r="D8" s="12">
        <v>1</v>
      </c>
      <c r="E8" s="13">
        <v>24730287</v>
      </c>
      <c r="F8" s="14">
        <f t="shared" si="0"/>
        <v>24730287</v>
      </c>
      <c r="H8" s="35"/>
    </row>
    <row r="16" spans="1:8" x14ac:dyDescent="0.25">
      <c r="B16">
        <v>3367000</v>
      </c>
    </row>
    <row r="17" spans="2:2" x14ac:dyDescent="0.25">
      <c r="B17">
        <f>+B16-500000</f>
        <v>2867000</v>
      </c>
    </row>
    <row r="18" spans="2:2" x14ac:dyDescent="0.25">
      <c r="B18">
        <f>+B17-300000</f>
        <v>2567000</v>
      </c>
    </row>
    <row r="19" spans="2:2" x14ac:dyDescent="0.25">
      <c r="B19">
        <f>+B18-200000</f>
        <v>2367000</v>
      </c>
    </row>
  </sheetData>
  <mergeCells count="1"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PRESUPUESTO</vt:lpstr>
      <vt:lpstr>Hoja1</vt:lpstr>
      <vt:lpstr>Hoja2</vt:lpstr>
      <vt:lpstr>PRESUPUESTO!Área_de_impresión</vt:lpstr>
      <vt:lpstr>PRESUPUESTO!Títulos_a_imprimir</vt:lpstr>
    </vt:vector>
  </TitlesOfParts>
  <Manager/>
  <Company>ETC LTDA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 LTDA</dc:creator>
  <cp:keywords/>
  <dc:description/>
  <cp:lastModifiedBy>ASTRID GOMEZ PINEDA</cp:lastModifiedBy>
  <cp:revision/>
  <dcterms:created xsi:type="dcterms:W3CDTF">2011-02-02T17:06:52Z</dcterms:created>
  <dcterms:modified xsi:type="dcterms:W3CDTF">2022-02-07T19:29:32Z</dcterms:modified>
  <cp:category/>
  <cp:contentStatus/>
</cp:coreProperties>
</file>