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ocumentos Fabian Moreno\UNIMINUTO\Planes de Trabajo\4 al 9 de mayo\4. Repositorio Institucional\201950\3511\LÓPEZ AVENDAÑO JEISSON_605372 &amp; REYES ABRIL ROSA_51956830\"/>
    </mc:Choice>
  </mc:AlternateContent>
  <bookViews>
    <workbookView xWindow="0" yWindow="0" windowWidth="11460" windowHeight="5595"/>
  </bookViews>
  <sheets>
    <sheet name="CRONOGRAMA" sheetId="1" r:id="rId1"/>
    <sheet name="ESF" sheetId="3" r:id="rId2"/>
    <sheet name="ER" sheetId="6" r:id="rId3"/>
    <sheet name="FLUJO DE CAJA" sheetId="8" r:id="rId4"/>
    <sheet name="PROYECCION VTAS" sheetId="10" r:id="rId5"/>
    <sheet name="NECESIDADES DE INVERSION" sheetId="2" r:id="rId6"/>
    <sheet name="TIR Y VPN" sheetId="9" r:id="rId7"/>
    <sheet name="SECTOR INFLACION" sheetId="7" r:id="rId8"/>
    <sheet name="COSTOS Y GASTOS" sheetId="5" r:id="rId9"/>
    <sheet name="APORTES SOCIALES" sheetId="4" r:id="rId10"/>
  </sheets>
  <definedNames>
    <definedName name="_xlnm._FilterDatabase" localSheetId="8" hidden="1">'COSTOS Y GASTOS'!$A$4:$M$17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8" l="1"/>
  <c r="G20" i="3"/>
  <c r="I20" i="3"/>
  <c r="K20" i="3"/>
  <c r="E27" i="8" l="1"/>
  <c r="G27" i="8"/>
  <c r="I27" i="8"/>
  <c r="K27" i="8"/>
  <c r="C27" i="8"/>
  <c r="B8" i="6" l="1"/>
  <c r="E12" i="6"/>
  <c r="N63" i="10" l="1"/>
  <c r="O4" i="10"/>
  <c r="O5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O59" i="10" s="1"/>
  <c r="O60" i="10" s="1"/>
  <c r="O61" i="10" s="1"/>
  <c r="O62" i="10" s="1"/>
  <c r="O63" i="10" s="1"/>
  <c r="N53" i="10"/>
  <c r="N54" i="10"/>
  <c r="N55" i="10"/>
  <c r="N56" i="10"/>
  <c r="N57" i="10"/>
  <c r="N58" i="10"/>
  <c r="N59" i="10"/>
  <c r="N60" i="10"/>
  <c r="N61" i="10"/>
  <c r="N62" i="10"/>
  <c r="N52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28" i="10"/>
  <c r="N17" i="10"/>
  <c r="N18" i="10"/>
  <c r="N19" i="10"/>
  <c r="N20" i="10"/>
  <c r="N21" i="10"/>
  <c r="N22" i="10"/>
  <c r="N23" i="10"/>
  <c r="N24" i="10"/>
  <c r="N25" i="10"/>
  <c r="N26" i="10"/>
  <c r="N27" i="10"/>
  <c r="N16" i="10"/>
  <c r="N5" i="10"/>
  <c r="N6" i="10"/>
  <c r="N7" i="10"/>
  <c r="N8" i="10"/>
  <c r="N9" i="10"/>
  <c r="N10" i="10"/>
  <c r="N11" i="10"/>
  <c r="N12" i="10"/>
  <c r="N13" i="10"/>
  <c r="N14" i="10"/>
  <c r="N15" i="10"/>
  <c r="N4" i="10"/>
  <c r="I53" i="10"/>
  <c r="I54" i="10"/>
  <c r="I55" i="10"/>
  <c r="I56" i="10"/>
  <c r="I57" i="10"/>
  <c r="I58" i="10"/>
  <c r="I59" i="10"/>
  <c r="I60" i="10"/>
  <c r="I61" i="10"/>
  <c r="I62" i="10"/>
  <c r="I63" i="10"/>
  <c r="I52" i="10"/>
  <c r="I51" i="10"/>
  <c r="I41" i="10"/>
  <c r="I42" i="10"/>
  <c r="I43" i="10"/>
  <c r="I44" i="10"/>
  <c r="I45" i="10"/>
  <c r="I46" i="10"/>
  <c r="I47" i="10"/>
  <c r="I48" i="10"/>
  <c r="I49" i="10"/>
  <c r="I50" i="10"/>
  <c r="I40" i="10"/>
  <c r="I29" i="10"/>
  <c r="I30" i="10"/>
  <c r="I31" i="10"/>
  <c r="I32" i="10"/>
  <c r="I33" i="10"/>
  <c r="I34" i="10"/>
  <c r="I35" i="10"/>
  <c r="I36" i="10"/>
  <c r="I37" i="10"/>
  <c r="I38" i="10"/>
  <c r="I39" i="10"/>
  <c r="I28" i="10"/>
  <c r="I17" i="10"/>
  <c r="I18" i="10"/>
  <c r="I19" i="10"/>
  <c r="I20" i="10"/>
  <c r="I21" i="10"/>
  <c r="I22" i="10"/>
  <c r="I23" i="10"/>
  <c r="I24" i="10"/>
  <c r="I25" i="10"/>
  <c r="I26" i="10"/>
  <c r="I27" i="10"/>
  <c r="I16" i="10"/>
  <c r="I6" i="10"/>
  <c r="I5" i="10"/>
  <c r="I7" i="10"/>
  <c r="I8" i="10"/>
  <c r="I9" i="10"/>
  <c r="I10" i="10"/>
  <c r="I11" i="10"/>
  <c r="I12" i="10"/>
  <c r="I13" i="10"/>
  <c r="I14" i="10"/>
  <c r="I15" i="10"/>
  <c r="I4" i="10"/>
  <c r="J4" i="10" s="1"/>
  <c r="J5" i="10" s="1"/>
  <c r="J6" i="10" s="1"/>
  <c r="J7" i="10" s="1"/>
  <c r="F53" i="10"/>
  <c r="F54" i="10"/>
  <c r="F55" i="10"/>
  <c r="F56" i="10"/>
  <c r="F57" i="10"/>
  <c r="F58" i="10"/>
  <c r="F59" i="10"/>
  <c r="F60" i="10"/>
  <c r="F61" i="10"/>
  <c r="F62" i="10"/>
  <c r="F63" i="10"/>
  <c r="F52" i="10"/>
  <c r="F41" i="10"/>
  <c r="F42" i="10"/>
  <c r="F43" i="10"/>
  <c r="F44" i="10"/>
  <c r="F45" i="10"/>
  <c r="F46" i="10"/>
  <c r="F47" i="10"/>
  <c r="F48" i="10"/>
  <c r="F49" i="10"/>
  <c r="F50" i="10"/>
  <c r="F51" i="10"/>
  <c r="F40" i="10"/>
  <c r="F29" i="10"/>
  <c r="F30" i="10"/>
  <c r="F31" i="10"/>
  <c r="F32" i="10"/>
  <c r="F33" i="10"/>
  <c r="F34" i="10"/>
  <c r="F35" i="10"/>
  <c r="F36" i="10"/>
  <c r="F37" i="10"/>
  <c r="F38" i="10"/>
  <c r="F39" i="10"/>
  <c r="F28" i="10"/>
  <c r="F17" i="10"/>
  <c r="F18" i="10"/>
  <c r="F19" i="10"/>
  <c r="F20" i="10"/>
  <c r="F21" i="10"/>
  <c r="F22" i="10"/>
  <c r="F23" i="10"/>
  <c r="F24" i="10"/>
  <c r="F25" i="10"/>
  <c r="F26" i="10"/>
  <c r="F27" i="10"/>
  <c r="F16" i="10"/>
  <c r="F5" i="10"/>
  <c r="F6" i="10"/>
  <c r="F7" i="10"/>
  <c r="F8" i="10"/>
  <c r="F9" i="10"/>
  <c r="F10" i="10"/>
  <c r="F11" i="10"/>
  <c r="F12" i="10"/>
  <c r="F13" i="10"/>
  <c r="F14" i="10"/>
  <c r="F15" i="10"/>
  <c r="F4" i="10"/>
  <c r="J8" i="10" l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D4" i="9"/>
  <c r="K21" i="8"/>
  <c r="E21" i="8"/>
  <c r="G19" i="8"/>
  <c r="C19" i="8"/>
  <c r="C18" i="8"/>
  <c r="C17" i="8"/>
  <c r="D45" i="2" l="1"/>
  <c r="I21" i="8"/>
  <c r="G21" i="8"/>
  <c r="C11" i="3"/>
  <c r="I18" i="6"/>
  <c r="E18" i="6"/>
  <c r="E19" i="8" s="1"/>
  <c r="E17" i="6"/>
  <c r="E16" i="6"/>
  <c r="D10" i="7"/>
  <c r="E10" i="7" s="1"/>
  <c r="F10" i="7" s="1"/>
  <c r="G10" i="7" s="1"/>
  <c r="D6" i="7"/>
  <c r="E6" i="7" s="1"/>
  <c r="F6" i="7" s="1"/>
  <c r="G6" i="7" s="1"/>
  <c r="C6" i="7"/>
  <c r="C11" i="7" s="1"/>
  <c r="C24" i="3"/>
  <c r="E24" i="3" s="1"/>
  <c r="G24" i="3" s="1"/>
  <c r="I24" i="3" s="1"/>
  <c r="K24" i="3" s="1"/>
  <c r="C22" i="3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I36" i="2" s="1"/>
  <c r="F24" i="2"/>
  <c r="F36" i="2" s="1"/>
  <c r="C23" i="8" s="1"/>
  <c r="G23" i="8" s="1"/>
  <c r="I23" i="8" s="1"/>
  <c r="C20" i="8"/>
  <c r="C11" i="6"/>
  <c r="B9" i="6" s="1"/>
  <c r="D4" i="2"/>
  <c r="I17" i="5"/>
  <c r="I16" i="5"/>
  <c r="I15" i="5"/>
  <c r="I13" i="5"/>
  <c r="I12" i="5"/>
  <c r="I11" i="5"/>
  <c r="H3" i="5"/>
  <c r="I10" i="5"/>
  <c r="F9" i="5"/>
  <c r="G9" i="5" s="1"/>
  <c r="I9" i="5" s="1"/>
  <c r="F6" i="5"/>
  <c r="G6" i="5" s="1"/>
  <c r="I6" i="5" s="1"/>
  <c r="F7" i="5"/>
  <c r="G7" i="5" s="1"/>
  <c r="I7" i="5" s="1"/>
  <c r="F8" i="5"/>
  <c r="G8" i="5" s="1"/>
  <c r="I8" i="5" s="1"/>
  <c r="F5" i="5"/>
  <c r="G5" i="5" s="1"/>
  <c r="I5" i="5" s="1"/>
  <c r="D8" i="4"/>
  <c r="C29" i="3" s="1"/>
  <c r="E29" i="3" s="1"/>
  <c r="D11" i="4"/>
  <c r="D10" i="4"/>
  <c r="C21" i="3" l="1"/>
  <c r="C21" i="8" s="1"/>
  <c r="F37" i="2"/>
  <c r="F38" i="2" s="1"/>
  <c r="F39" i="2" s="1"/>
  <c r="F40" i="2" s="1"/>
  <c r="G11" i="7"/>
  <c r="K11" i="6" s="1"/>
  <c r="K11" i="8" s="1"/>
  <c r="C11" i="8"/>
  <c r="K18" i="6"/>
  <c r="K19" i="8" s="1"/>
  <c r="I19" i="8"/>
  <c r="G16" i="6"/>
  <c r="E17" i="8"/>
  <c r="G17" i="6"/>
  <c r="E18" i="8"/>
  <c r="G12" i="6"/>
  <c r="E20" i="8"/>
  <c r="C9" i="3"/>
  <c r="C13" i="8"/>
  <c r="E11" i="3"/>
  <c r="D11" i="7"/>
  <c r="E11" i="6" s="1"/>
  <c r="G29" i="3"/>
  <c r="F11" i="7"/>
  <c r="I11" i="6" s="1"/>
  <c r="E11" i="7"/>
  <c r="G11" i="6" s="1"/>
  <c r="C14" i="6"/>
  <c r="G3" i="5"/>
  <c r="F3" i="5"/>
  <c r="D20" i="2"/>
  <c r="C18" i="3" l="1"/>
  <c r="C10" i="8"/>
  <c r="C16" i="8"/>
  <c r="C26" i="8" s="1"/>
  <c r="C15" i="3"/>
  <c r="G14" i="6"/>
  <c r="G20" i="6" s="1"/>
  <c r="G22" i="6" s="1"/>
  <c r="G23" i="3" s="1"/>
  <c r="G11" i="8"/>
  <c r="I11" i="8"/>
  <c r="I12" i="6"/>
  <c r="G20" i="8"/>
  <c r="I16" i="6"/>
  <c r="G17" i="8"/>
  <c r="E14" i="6"/>
  <c r="E20" i="6" s="1"/>
  <c r="E22" i="6" s="1"/>
  <c r="E23" i="3" s="1"/>
  <c r="E11" i="8"/>
  <c r="I17" i="6"/>
  <c r="G18" i="8"/>
  <c r="G11" i="3"/>
  <c r="E13" i="8"/>
  <c r="E10" i="8" s="1"/>
  <c r="E9" i="3"/>
  <c r="C20" i="6"/>
  <c r="C22" i="6" s="1"/>
  <c r="I18" i="3"/>
  <c r="K18" i="3"/>
  <c r="I29" i="3"/>
  <c r="E14" i="5"/>
  <c r="C5" i="9" l="1"/>
  <c r="D5" i="9" s="1"/>
  <c r="E8" i="8"/>
  <c r="E14" i="3"/>
  <c r="E7" i="3" s="1"/>
  <c r="C14" i="3"/>
  <c r="C7" i="3" s="1"/>
  <c r="K12" i="6"/>
  <c r="I20" i="8"/>
  <c r="K17" i="6"/>
  <c r="K18" i="8" s="1"/>
  <c r="I18" i="8"/>
  <c r="K16" i="6"/>
  <c r="K17" i="8" s="1"/>
  <c r="I17" i="8"/>
  <c r="I14" i="6"/>
  <c r="I20" i="6" s="1"/>
  <c r="I22" i="6" s="1"/>
  <c r="E18" i="3"/>
  <c r="G13" i="8"/>
  <c r="G10" i="8" s="1"/>
  <c r="G18" i="3"/>
  <c r="G9" i="3"/>
  <c r="C24" i="6"/>
  <c r="E24" i="6"/>
  <c r="G24" i="6"/>
  <c r="K29" i="3"/>
  <c r="I14" i="5"/>
  <c r="I3" i="5" s="1"/>
  <c r="E3" i="5"/>
  <c r="E16" i="8" l="1"/>
  <c r="E26" i="8" s="1"/>
  <c r="G8" i="8" s="1"/>
  <c r="I24" i="6"/>
  <c r="G16" i="8"/>
  <c r="G14" i="3"/>
  <c r="G7" i="3" s="1"/>
  <c r="K20" i="8"/>
  <c r="K14" i="6"/>
  <c r="K20" i="6" s="1"/>
  <c r="K11" i="3"/>
  <c r="K13" i="8" s="1"/>
  <c r="K10" i="8" s="1"/>
  <c r="I13" i="8"/>
  <c r="I10" i="8" s="1"/>
  <c r="I9" i="3"/>
  <c r="C32" i="3"/>
  <c r="E31" i="3" s="1"/>
  <c r="C30" i="3"/>
  <c r="G32" i="3"/>
  <c r="G30" i="3"/>
  <c r="I32" i="3"/>
  <c r="I30" i="3"/>
  <c r="E30" i="3"/>
  <c r="E32" i="3"/>
  <c r="C6" i="9" l="1"/>
  <c r="D6" i="9" s="1"/>
  <c r="K9" i="3"/>
  <c r="G26" i="8"/>
  <c r="I16" i="8"/>
  <c r="I14" i="3"/>
  <c r="I7" i="3" s="1"/>
  <c r="K22" i="6"/>
  <c r="K24" i="6" s="1"/>
  <c r="G31" i="3"/>
  <c r="I31" i="3" s="1"/>
  <c r="I27" i="3" s="1"/>
  <c r="I34" i="3" s="1"/>
  <c r="C27" i="3"/>
  <c r="C34" i="3" s="1"/>
  <c r="E27" i="3"/>
  <c r="E34" i="3" s="1"/>
  <c r="K16" i="8" l="1"/>
  <c r="K14" i="3"/>
  <c r="K7" i="3" s="1"/>
  <c r="I8" i="8"/>
  <c r="I26" i="8" s="1"/>
  <c r="C7" i="9"/>
  <c r="K32" i="3"/>
  <c r="K30" i="3"/>
  <c r="G27" i="3"/>
  <c r="G34" i="3" s="1"/>
  <c r="K31" i="3"/>
  <c r="C8" i="9" l="1"/>
  <c r="D8" i="9" s="1"/>
  <c r="K8" i="8"/>
  <c r="K26" i="8" s="1"/>
  <c r="D7" i="9"/>
  <c r="K27" i="3"/>
  <c r="K34" i="3" s="1"/>
  <c r="C9" i="9" l="1"/>
  <c r="D9" i="9" s="1"/>
  <c r="I5" i="9" s="1"/>
  <c r="J5" i="9" s="1"/>
  <c r="D11" i="9" l="1"/>
  <c r="D12" i="9"/>
</calcChain>
</file>

<file path=xl/comments1.xml><?xml version="1.0" encoding="utf-8"?>
<comments xmlns="http://schemas.openxmlformats.org/spreadsheetml/2006/main">
  <authors>
    <author>jeisson lopez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credito</t>
        </r>
      </text>
    </comment>
  </commentList>
</comments>
</file>

<file path=xl/sharedStrings.xml><?xml version="1.0" encoding="utf-8"?>
<sst xmlns="http://schemas.openxmlformats.org/spreadsheetml/2006/main" count="409" uniqueCount="198">
  <si>
    <t>3.1 Ficha técnica del producto</t>
  </si>
  <si>
    <t>3.2 Proceso que se debe seguir para la producción del bien o el servicio</t>
  </si>
  <si>
    <t>3.3 Necesidades de inversión</t>
  </si>
  <si>
    <t>3.4 Condiciones técnicas y de infraestructura</t>
  </si>
  <si>
    <t>3.5 Capacidad productiva de la empresa</t>
  </si>
  <si>
    <t>4.1 Organigrama</t>
  </si>
  <si>
    <t>5.1 Normatividad empresarial</t>
  </si>
  <si>
    <t>5.2 Normatividad tributaria</t>
  </si>
  <si>
    <t>5.3 Normatividad técnica</t>
  </si>
  <si>
    <t>5.4 Normatividad laboral</t>
  </si>
  <si>
    <t>5.5 Normatividad ambiental</t>
  </si>
  <si>
    <t>5.6 Registro de marca – propiedad intelectual</t>
  </si>
  <si>
    <t>6.1 Balance inicial</t>
  </si>
  <si>
    <t>6.2 Estado de resultados</t>
  </si>
  <si>
    <t>6.3 Flujo de caja</t>
  </si>
  <si>
    <t>6.4 Punto de equilibrio</t>
  </si>
  <si>
    <t>6.5 Indicadores financieros</t>
  </si>
  <si>
    <t>CRONOGRAMA DE ACTIVIDADES</t>
  </si>
  <si>
    <t xml:space="preserve">DIRIGIDO A </t>
  </si>
  <si>
    <t>TEMA</t>
  </si>
  <si>
    <t>AÑO 2019</t>
  </si>
  <si>
    <t>OPERACIÓN</t>
  </si>
  <si>
    <t>ORGANIZACIÓN</t>
  </si>
  <si>
    <t>ASPECTOS LEGALES</t>
  </si>
  <si>
    <t>ESTUDIO FINANCIERO</t>
  </si>
  <si>
    <t>CONCLUSIONES E IMPACTOS</t>
  </si>
  <si>
    <t>ANEXOS</t>
  </si>
  <si>
    <t>P</t>
  </si>
  <si>
    <t>E</t>
  </si>
  <si>
    <t>AGOSTO</t>
  </si>
  <si>
    <t>SEPTIEMBRE</t>
  </si>
  <si>
    <t>X</t>
  </si>
  <si>
    <t>% DE CUMPLIMIENTO</t>
  </si>
  <si>
    <r>
      <rPr>
        <b/>
        <sz val="11"/>
        <color theme="1"/>
        <rFont val="Times New Roman"/>
        <family val="1"/>
      </rPr>
      <t xml:space="preserve">PLANEADO = </t>
    </r>
    <r>
      <rPr>
        <b/>
        <sz val="11"/>
        <color rgb="FFFF0000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     </t>
    </r>
    <r>
      <rPr>
        <b/>
        <sz val="11"/>
        <color theme="1"/>
        <rFont val="Times New Roman"/>
        <family val="1"/>
      </rPr>
      <t xml:space="preserve"> EJECUTADO= </t>
    </r>
    <r>
      <rPr>
        <b/>
        <sz val="11"/>
        <color rgb="FF002060"/>
        <rFont val="Times New Roman"/>
        <family val="1"/>
      </rPr>
      <t>E</t>
    </r>
  </si>
  <si>
    <t>Presentado por:</t>
  </si>
  <si>
    <t>Jeisson Paul López Avendaño</t>
  </si>
  <si>
    <t>Rosa Amanda Reyes Abril</t>
  </si>
  <si>
    <t xml:space="preserve">PROYECTO DE EMPRENDIMIENTO </t>
  </si>
  <si>
    <t>Objetivo general: Diseñar una chaqueta con luces direccionales que disminuya la accidentalidad de los biciusuarios.</t>
  </si>
  <si>
    <t>7.1 Conclusiones</t>
  </si>
  <si>
    <t>8,1 Estudio de mercado</t>
  </si>
  <si>
    <t>8,2 Ficha técnica del producto</t>
  </si>
  <si>
    <t>Cantidad</t>
  </si>
  <si>
    <t>Cortadora eléctrica</t>
  </si>
  <si>
    <t>Mesa diseñador</t>
  </si>
  <si>
    <t>Tijeras corta hilos</t>
  </si>
  <si>
    <t xml:space="preserve">Tijeras confección </t>
  </si>
  <si>
    <t>Estantes metálicos</t>
  </si>
  <si>
    <t>Plancha vapor industrial</t>
  </si>
  <si>
    <t>Mesa de finizaje</t>
  </si>
  <si>
    <t>Mesa de corte</t>
  </si>
  <si>
    <t>TOTAL</t>
  </si>
  <si>
    <t>Sillas ergónomicas</t>
  </si>
  <si>
    <t>Máquina plana industrial</t>
  </si>
  <si>
    <t>Máquina fileteadora</t>
  </si>
  <si>
    <t>Máquina collarín</t>
  </si>
  <si>
    <t>MÁQUINARIA Y EQUIPO - MUEBLES Y ENSERES</t>
  </si>
  <si>
    <t>ACTIVO</t>
  </si>
  <si>
    <t>EFECTIVO Y EQUIVALENTES</t>
  </si>
  <si>
    <t>CUENTAS POR COBRAR</t>
  </si>
  <si>
    <t>PROPIEDAD PLANTA Y EQUIPO</t>
  </si>
  <si>
    <t>INVENTARIOS</t>
  </si>
  <si>
    <t>ACTIVO CORRIENTE</t>
  </si>
  <si>
    <t>APORTES SOCIALES</t>
  </si>
  <si>
    <t>AMANDA REYES</t>
  </si>
  <si>
    <t>EFECTIVO</t>
  </si>
  <si>
    <t>VEHICULOS</t>
  </si>
  <si>
    <t>JEISSON LOPEZ</t>
  </si>
  <si>
    <t>TOTAL EFECTIVO</t>
  </si>
  <si>
    <t>TOTAL PPYE</t>
  </si>
  <si>
    <t>TOTAL APORTES SOCIALES</t>
  </si>
  <si>
    <t>ACTIVO NO CORRIENTE</t>
  </si>
  <si>
    <t>PASIVOS</t>
  </si>
  <si>
    <t>OBLIGACIONES FINANCIERAS</t>
  </si>
  <si>
    <t>PROVEEDORES</t>
  </si>
  <si>
    <t>CUENTAS POR PAGAR</t>
  </si>
  <si>
    <t>IMPUESTOS</t>
  </si>
  <si>
    <t>BENEFICIOS A EMPLEADOS</t>
  </si>
  <si>
    <t>PATRIMONIO</t>
  </si>
  <si>
    <t>CAPITAL SOCIAL</t>
  </si>
  <si>
    <t>RESERVA LEGAL</t>
  </si>
  <si>
    <t>UTILIDADES ACUMULADAS</t>
  </si>
  <si>
    <t>UTILIDAD DEL EJERCICIO</t>
  </si>
  <si>
    <t>GASTOS</t>
  </si>
  <si>
    <t>SERVICIOS</t>
  </si>
  <si>
    <t>LEGALES</t>
  </si>
  <si>
    <t>MANTENIMIENTOS Y REPARACIONES</t>
  </si>
  <si>
    <t>OPERARIO</t>
  </si>
  <si>
    <t>CORTADOR</t>
  </si>
  <si>
    <t>FINISAJE</t>
  </si>
  <si>
    <t>ADMINISTRADOR</t>
  </si>
  <si>
    <t>COMERCIAL</t>
  </si>
  <si>
    <t>CONTADOR</t>
  </si>
  <si>
    <t>EMPLEADO</t>
  </si>
  <si>
    <t>CANTIDAD</t>
  </si>
  <si>
    <t>CARGA PRESTACIONAL</t>
  </si>
  <si>
    <t>MESES LABORADOS</t>
  </si>
  <si>
    <t>DEVENGADO</t>
  </si>
  <si>
    <t>TOTAL ANUAL</t>
  </si>
  <si>
    <t>COSTO</t>
  </si>
  <si>
    <t>GASTO</t>
  </si>
  <si>
    <t>MO</t>
  </si>
  <si>
    <t>ADMINISTRACION</t>
  </si>
  <si>
    <t>VENTAS</t>
  </si>
  <si>
    <t>DISENADOR</t>
  </si>
  <si>
    <t>ARRENDAMIENTOS</t>
  </si>
  <si>
    <t>DEPRECIACIONES</t>
  </si>
  <si>
    <t>VALOR</t>
  </si>
  <si>
    <t>CTA</t>
  </si>
  <si>
    <t>NOMBRE CTA</t>
  </si>
  <si>
    <t>ADECUACION</t>
  </si>
  <si>
    <t>INGRESOS</t>
  </si>
  <si>
    <t>COSTO DE VENTAS</t>
  </si>
  <si>
    <t>UTILIDAD BRUTA</t>
  </si>
  <si>
    <t>GASTOS ADMINISTRATIVOS</t>
  </si>
  <si>
    <t>GASTOS DE VENTAS</t>
  </si>
  <si>
    <t>UTILIDAD DEL OPERACIONAL</t>
  </si>
  <si>
    <t>MOI</t>
  </si>
  <si>
    <t>Computador</t>
  </si>
  <si>
    <t>Software contable anualidad</t>
  </si>
  <si>
    <t>Equipo de computo y programas</t>
  </si>
  <si>
    <t>Material</t>
  </si>
  <si>
    <t>UNIDAD</t>
  </si>
  <si>
    <t>Precio</t>
  </si>
  <si>
    <t>Total</t>
  </si>
  <si>
    <t>CANT. X UNIDAD</t>
  </si>
  <si>
    <t>COSTO X UNIDAD</t>
  </si>
  <si>
    <t>Tela impermeable</t>
  </si>
  <si>
    <t>MTS</t>
  </si>
  <si>
    <t>Forro</t>
  </si>
  <si>
    <t>Reflectivo</t>
  </si>
  <si>
    <t>Dispositivo</t>
  </si>
  <si>
    <t>UND</t>
  </si>
  <si>
    <t>Cable</t>
  </si>
  <si>
    <t>Pila</t>
  </si>
  <si>
    <t>Cremallera 1</t>
  </si>
  <si>
    <t>Cremallera 2</t>
  </si>
  <si>
    <t>Ojetes</t>
  </si>
  <si>
    <t>Caucho acordonado</t>
  </si>
  <si>
    <t>Hilaza</t>
  </si>
  <si>
    <t>hilo</t>
  </si>
  <si>
    <t>INVENTARIO PROMEDIO MENSUAL</t>
  </si>
  <si>
    <t>COSTO UNITARIO</t>
  </si>
  <si>
    <t>COSTO PROMEDIO DEL INVENTARIO MENSUAL</t>
  </si>
  <si>
    <t>PROVEEDORES SE PAGARA A 45 DIAS</t>
  </si>
  <si>
    <t>TOTAL COSTO UNITARIO</t>
  </si>
  <si>
    <t>BIKE &amp; LIGHT SAS</t>
  </si>
  <si>
    <t>CIFRAS EXPRESADAS EN PESOS COLOMBIANOS</t>
  </si>
  <si>
    <t>AÑO 1</t>
  </si>
  <si>
    <t>AÑO 2</t>
  </si>
  <si>
    <t>AÑO 3</t>
  </si>
  <si>
    <t>AÑO 4</t>
  </si>
  <si>
    <t>AÑO 5</t>
  </si>
  <si>
    <t>CRECIMIENTO DEL SECTOR</t>
  </si>
  <si>
    <t>UNIDADES VENDIDAS</t>
  </si>
  <si>
    <t>PRECIO DE VENTA</t>
  </si>
  <si>
    <t>VENTAS TOTALES</t>
  </si>
  <si>
    <t>INFLACION PROMEDIO</t>
  </si>
  <si>
    <t>GASTOS FINANCIEROS</t>
  </si>
  <si>
    <t>TASA DE OPORTUNIDAD</t>
  </si>
  <si>
    <t>TOTAL PASIVO + PATRIMONIO</t>
  </si>
  <si>
    <t>Diseñador Honorarios</t>
  </si>
  <si>
    <t>Gastos legales</t>
  </si>
  <si>
    <t>Otros</t>
  </si>
  <si>
    <t>SALDO INICIAL</t>
  </si>
  <si>
    <t>SALDO FINAL</t>
  </si>
  <si>
    <t>GASTOS Y COSTOS</t>
  </si>
  <si>
    <t>PRESTAMOS</t>
  </si>
  <si>
    <t>COSTOS</t>
  </si>
  <si>
    <t>FLUJO DE CAJA PROYECTADO</t>
  </si>
  <si>
    <t>ESTADO DE SITUACION FINANCIERA PROYECTADO</t>
  </si>
  <si>
    <t>ESTADO DE RESULTADOS PROYECTADO</t>
  </si>
  <si>
    <t>AÑO</t>
  </si>
  <si>
    <t>VPN</t>
  </si>
  <si>
    <t>TIR</t>
  </si>
  <si>
    <t>VP</t>
  </si>
  <si>
    <t>TIO</t>
  </si>
  <si>
    <t>MES 1</t>
  </si>
  <si>
    <t>MES 2</t>
  </si>
  <si>
    <t>S1</t>
  </si>
  <si>
    <t>S2</t>
  </si>
  <si>
    <t>S3</t>
  </si>
  <si>
    <t>S4</t>
  </si>
  <si>
    <t>S5</t>
  </si>
  <si>
    <t xml:space="preserve">VENTAS </t>
  </si>
  <si>
    <t>AÑO2</t>
  </si>
  <si>
    <t>ENERO</t>
  </si>
  <si>
    <t>FEBRERO</t>
  </si>
  <si>
    <t>MARZO</t>
  </si>
  <si>
    <t>ABRIL</t>
  </si>
  <si>
    <t>MAYO</t>
  </si>
  <si>
    <t>JUNIO</t>
  </si>
  <si>
    <t>JULIO</t>
  </si>
  <si>
    <t>OCTUBRE</t>
  </si>
  <si>
    <t>NOVIEMBRE</t>
  </si>
  <si>
    <t>DICIEMBRE</t>
  </si>
  <si>
    <t>Mesas y escritorios</t>
  </si>
  <si>
    <t>PROYECCION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</si>
</sst>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2" applyNumberFormat="1" applyFont="1" applyAlignment="1"/>
    <xf numFmtId="0" fontId="4" fillId="0" borderId="0" xfId="0" applyFont="1"/>
    <xf numFmtId="0" fontId="5" fillId="0" borderId="0" xfId="0" applyFont="1"/>
    <xf numFmtId="0" fontId="6" fillId="2" borderId="3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3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6" fontId="9" fillId="2" borderId="1" xfId="0" applyNumberFormat="1" applyFont="1" applyFill="1" applyBorder="1" applyAlignment="1">
      <alignment horizontal="right"/>
    </xf>
    <xf numFmtId="41" fontId="0" fillId="0" borderId="0" xfId="1" applyFont="1"/>
    <xf numFmtId="0" fontId="2" fillId="0" borderId="0" xfId="0" applyFont="1"/>
    <xf numFmtId="41" fontId="2" fillId="0" borderId="0" xfId="1" applyFont="1"/>
    <xf numFmtId="41" fontId="0" fillId="0" borderId="0" xfId="0" applyNumberFormat="1"/>
    <xf numFmtId="4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8" fontId="0" fillId="0" borderId="0" xfId="0" applyNumberFormat="1"/>
    <xf numFmtId="0" fontId="3" fillId="0" borderId="23" xfId="0" applyFont="1" applyBorder="1"/>
    <xf numFmtId="6" fontId="3" fillId="0" borderId="1" xfId="0" applyNumberFormat="1" applyFont="1" applyBorder="1"/>
    <xf numFmtId="0" fontId="3" fillId="0" borderId="1" xfId="0" applyFont="1" applyBorder="1"/>
    <xf numFmtId="0" fontId="3" fillId="0" borderId="23" xfId="0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3" fontId="3" fillId="0" borderId="12" xfId="0" applyNumberFormat="1" applyFont="1" applyBorder="1"/>
    <xf numFmtId="41" fontId="3" fillId="0" borderId="1" xfId="1" applyFont="1" applyBorder="1"/>
    <xf numFmtId="41" fontId="3" fillId="0" borderId="12" xfId="1" applyFont="1" applyBorder="1"/>
    <xf numFmtId="0" fontId="3" fillId="0" borderId="42" xfId="0" applyFont="1" applyBorder="1"/>
    <xf numFmtId="6" fontId="3" fillId="0" borderId="8" xfId="0" applyNumberFormat="1" applyFont="1" applyBorder="1"/>
    <xf numFmtId="0" fontId="3" fillId="0" borderId="8" xfId="0" applyFont="1" applyBorder="1"/>
    <xf numFmtId="41" fontId="3" fillId="0" borderId="8" xfId="1" applyFont="1" applyBorder="1"/>
    <xf numFmtId="41" fontId="3" fillId="0" borderId="35" xfId="1" applyFont="1" applyBorder="1"/>
    <xf numFmtId="0" fontId="3" fillId="0" borderId="42" xfId="0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3" fontId="3" fillId="0" borderId="35" xfId="0" applyNumberFormat="1" applyFont="1" applyBorder="1"/>
    <xf numFmtId="0" fontId="9" fillId="0" borderId="2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3" fillId="0" borderId="43" xfId="0" applyFont="1" applyBorder="1"/>
    <xf numFmtId="6" fontId="3" fillId="0" borderId="44" xfId="0" applyNumberFormat="1" applyFont="1" applyBorder="1"/>
    <xf numFmtId="0" fontId="3" fillId="0" borderId="44" xfId="0" applyFont="1" applyBorder="1"/>
    <xf numFmtId="41" fontId="3" fillId="0" borderId="44" xfId="1" applyFont="1" applyBorder="1"/>
    <xf numFmtId="41" fontId="3" fillId="0" borderId="45" xfId="1" applyFont="1" applyBorder="1"/>
    <xf numFmtId="0" fontId="3" fillId="0" borderId="43" xfId="0" applyFont="1" applyBorder="1" applyAlignment="1">
      <alignment horizontal="center"/>
    </xf>
    <xf numFmtId="2" fontId="3" fillId="0" borderId="44" xfId="1" applyNumberFormat="1" applyFont="1" applyBorder="1" applyAlignment="1">
      <alignment horizontal="center"/>
    </xf>
    <xf numFmtId="3" fontId="3" fillId="0" borderId="45" xfId="0" applyNumberFormat="1" applyFont="1" applyBorder="1"/>
    <xf numFmtId="41" fontId="9" fillId="2" borderId="32" xfId="1" applyFont="1" applyFill="1" applyBorder="1"/>
    <xf numFmtId="3" fontId="9" fillId="2" borderId="32" xfId="0" applyNumberFormat="1" applyFont="1" applyFill="1" applyBorder="1"/>
    <xf numFmtId="0" fontId="9" fillId="0" borderId="0" xfId="0" applyFont="1" applyFill="1" applyBorder="1" applyAlignment="1">
      <alignment horizontal="center"/>
    </xf>
    <xf numFmtId="41" fontId="9" fillId="0" borderId="0" xfId="1" applyFont="1" applyFill="1" applyBorder="1"/>
    <xf numFmtId="6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10" fontId="0" fillId="0" borderId="0" xfId="0" applyNumberFormat="1"/>
    <xf numFmtId="9" fontId="0" fillId="0" borderId="0" xfId="0" applyNumberFormat="1"/>
    <xf numFmtId="0" fontId="6" fillId="0" borderId="0" xfId="0" applyFont="1" applyAlignment="1">
      <alignment horizontal="center"/>
    </xf>
    <xf numFmtId="41" fontId="5" fillId="0" borderId="0" xfId="1" applyFont="1"/>
    <xf numFmtId="0" fontId="6" fillId="0" borderId="0" xfId="0" applyFont="1"/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3" fillId="0" borderId="0" xfId="1" applyNumberFormat="1" applyFont="1"/>
    <xf numFmtId="3" fontId="3" fillId="0" borderId="0" xfId="0" applyNumberFormat="1" applyFont="1"/>
    <xf numFmtId="3" fontId="9" fillId="0" borderId="0" xfId="1" applyNumberFormat="1" applyFont="1"/>
    <xf numFmtId="3" fontId="9" fillId="0" borderId="0" xfId="0" applyNumberFormat="1" applyFont="1"/>
    <xf numFmtId="0" fontId="10" fillId="0" borderId="0" xfId="0" applyFont="1"/>
    <xf numFmtId="3" fontId="10" fillId="0" borderId="0" xfId="1" applyNumberFormat="1" applyFont="1"/>
    <xf numFmtId="3" fontId="10" fillId="0" borderId="0" xfId="0" applyNumberFormat="1" applyFont="1"/>
    <xf numFmtId="3" fontId="6" fillId="0" borderId="0" xfId="0" applyNumberFormat="1" applyFont="1" applyAlignment="1">
      <alignment horizontal="center"/>
    </xf>
    <xf numFmtId="3" fontId="5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5" fillId="0" borderId="0" xfId="1" applyNumberFormat="1" applyFont="1"/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1" fontId="7" fillId="0" borderId="0" xfId="1" applyFont="1"/>
    <xf numFmtId="41" fontId="5" fillId="0" borderId="0" xfId="0" applyNumberFormat="1" applyFont="1"/>
    <xf numFmtId="10" fontId="2" fillId="0" borderId="0" xfId="0" applyNumberFormat="1" applyFont="1"/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/>
    <xf numFmtId="41" fontId="9" fillId="0" borderId="0" xfId="1" applyFont="1"/>
    <xf numFmtId="8" fontId="9" fillId="0" borderId="0" xfId="0" applyNumberFormat="1" applyFont="1"/>
    <xf numFmtId="0" fontId="9" fillId="2" borderId="0" xfId="0" applyFont="1" applyFill="1"/>
    <xf numFmtId="41" fontId="9" fillId="0" borderId="0" xfId="0" applyNumberFormat="1" applyFont="1"/>
    <xf numFmtId="10" fontId="9" fillId="0" borderId="0" xfId="0" applyNumberFormat="1" applyFont="1"/>
    <xf numFmtId="9" fontId="0" fillId="0" borderId="0" xfId="2" applyFont="1"/>
    <xf numFmtId="49" fontId="0" fillId="0" borderId="0" xfId="0" applyNumberFormat="1"/>
    <xf numFmtId="10" fontId="0" fillId="0" borderId="0" xfId="2" applyNumberFormat="1" applyFont="1"/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6" fillId="2" borderId="20" xfId="2" applyNumberFormat="1" applyFont="1" applyFill="1" applyBorder="1" applyAlignment="1">
      <alignment horizontal="center" vertical="center" wrapText="1"/>
    </xf>
    <xf numFmtId="0" fontId="6" fillId="2" borderId="21" xfId="2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9" fillId="2" borderId="30" xfId="0" applyNumberFormat="1" applyFont="1" applyFill="1" applyBorder="1" applyAlignment="1">
      <alignment horizontal="center"/>
    </xf>
    <xf numFmtId="6" fontId="9" fillId="2" borderId="31" xfId="0" applyNumberFormat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>
      <selection activeCell="C1" sqref="C1:I1"/>
    </sheetView>
  </sheetViews>
  <sheetFormatPr baseColWidth="10" defaultRowHeight="15" x14ac:dyDescent="0.25"/>
  <cols>
    <col min="1" max="1" width="18.140625" customWidth="1"/>
    <col min="2" max="2" width="34.28515625" customWidth="1"/>
    <col min="3" max="3" width="10.5703125" customWidth="1"/>
    <col min="4" max="8" width="3.85546875" customWidth="1"/>
    <col min="9" max="9" width="14.5703125" customWidth="1"/>
    <col min="10" max="15" width="5.85546875" customWidth="1"/>
  </cols>
  <sheetData>
    <row r="1" spans="1:10" x14ac:dyDescent="0.25">
      <c r="A1" s="124" t="s">
        <v>37</v>
      </c>
      <c r="B1" s="125"/>
      <c r="C1" s="125" t="s">
        <v>17</v>
      </c>
      <c r="D1" s="125"/>
      <c r="E1" s="125"/>
      <c r="F1" s="125"/>
      <c r="G1" s="125"/>
      <c r="H1" s="125"/>
      <c r="I1" s="132"/>
    </row>
    <row r="2" spans="1:10" x14ac:dyDescent="0.25">
      <c r="A2" s="126"/>
      <c r="B2" s="127"/>
      <c r="C2" s="128" t="s">
        <v>38</v>
      </c>
      <c r="D2" s="128"/>
      <c r="E2" s="128"/>
      <c r="F2" s="128"/>
      <c r="G2" s="128"/>
      <c r="H2" s="128"/>
      <c r="I2" s="129"/>
    </row>
    <row r="3" spans="1:10" x14ac:dyDescent="0.25">
      <c r="A3" s="22" t="s">
        <v>34</v>
      </c>
      <c r="B3" s="23" t="s">
        <v>35</v>
      </c>
      <c r="C3" s="128"/>
      <c r="D3" s="128"/>
      <c r="E3" s="128"/>
      <c r="F3" s="128"/>
      <c r="G3" s="128"/>
      <c r="H3" s="128"/>
      <c r="I3" s="129"/>
    </row>
    <row r="4" spans="1:10" ht="15.75" thickBot="1" x14ac:dyDescent="0.3">
      <c r="A4" s="24"/>
      <c r="B4" s="25" t="s">
        <v>36</v>
      </c>
      <c r="C4" s="130"/>
      <c r="D4" s="130"/>
      <c r="E4" s="130"/>
      <c r="F4" s="130"/>
      <c r="G4" s="130"/>
      <c r="H4" s="130"/>
      <c r="I4" s="131"/>
    </row>
    <row r="5" spans="1:10" ht="9" customHeight="1" thickBot="1" x14ac:dyDescent="0.3">
      <c r="A5" s="21"/>
      <c r="B5" s="21"/>
      <c r="C5" s="21"/>
      <c r="D5" s="21"/>
      <c r="E5" s="21"/>
      <c r="F5" s="21"/>
      <c r="G5" s="21"/>
      <c r="H5" s="21"/>
      <c r="I5" s="21"/>
    </row>
    <row r="6" spans="1:10" s="2" customFormat="1" ht="19.5" thickBot="1" x14ac:dyDescent="0.35">
      <c r="B6" s="21"/>
      <c r="C6" s="133" t="s">
        <v>33</v>
      </c>
      <c r="D6" s="134"/>
      <c r="E6" s="134"/>
      <c r="F6" s="134"/>
      <c r="G6" s="134"/>
      <c r="H6" s="134"/>
      <c r="I6" s="135"/>
    </row>
    <row r="7" spans="1:10" ht="14.45" customHeight="1" thickBot="1" x14ac:dyDescent="0.3">
      <c r="A7" s="118" t="s">
        <v>18</v>
      </c>
      <c r="B7" s="115" t="s">
        <v>19</v>
      </c>
      <c r="C7" s="141" t="s">
        <v>20</v>
      </c>
      <c r="D7" s="142"/>
      <c r="E7" s="142"/>
      <c r="F7" s="142"/>
      <c r="G7" s="142"/>
      <c r="H7" s="143"/>
      <c r="I7" s="138" t="s">
        <v>32</v>
      </c>
    </row>
    <row r="8" spans="1:10" ht="15.75" thickBot="1" x14ac:dyDescent="0.3">
      <c r="A8" s="119"/>
      <c r="B8" s="116"/>
      <c r="C8" s="136" t="s">
        <v>177</v>
      </c>
      <c r="D8" s="137"/>
      <c r="E8" s="136" t="s">
        <v>178</v>
      </c>
      <c r="F8" s="144"/>
      <c r="G8" s="144"/>
      <c r="H8" s="145"/>
      <c r="I8" s="139"/>
      <c r="J8" s="1"/>
    </row>
    <row r="9" spans="1:10" ht="15.75" thickBot="1" x14ac:dyDescent="0.3">
      <c r="A9" s="120"/>
      <c r="B9" s="117"/>
      <c r="C9" s="4"/>
      <c r="D9" s="5" t="s">
        <v>179</v>
      </c>
      <c r="E9" s="6" t="s">
        <v>180</v>
      </c>
      <c r="F9" s="7" t="s">
        <v>181</v>
      </c>
      <c r="G9" s="6" t="s">
        <v>182</v>
      </c>
      <c r="H9" s="7" t="s">
        <v>183</v>
      </c>
      <c r="I9" s="140"/>
    </row>
    <row r="10" spans="1:10" x14ac:dyDescent="0.25">
      <c r="A10" s="118" t="s">
        <v>21</v>
      </c>
      <c r="B10" s="111" t="s">
        <v>0</v>
      </c>
      <c r="C10" s="8" t="s">
        <v>27</v>
      </c>
      <c r="D10" s="9" t="s">
        <v>31</v>
      </c>
      <c r="E10" s="10"/>
      <c r="F10" s="10"/>
      <c r="G10" s="10"/>
      <c r="H10" s="10"/>
      <c r="I10" s="11">
        <v>1</v>
      </c>
    </row>
    <row r="11" spans="1:10" x14ac:dyDescent="0.25">
      <c r="A11" s="119"/>
      <c r="B11" s="110"/>
      <c r="C11" s="12" t="s">
        <v>28</v>
      </c>
      <c r="D11" s="13" t="s">
        <v>31</v>
      </c>
      <c r="E11" s="14"/>
      <c r="F11" s="14"/>
      <c r="G11" s="14"/>
      <c r="H11" s="14"/>
      <c r="I11" s="15">
        <v>1</v>
      </c>
    </row>
    <row r="12" spans="1:10" x14ac:dyDescent="0.25">
      <c r="A12" s="119"/>
      <c r="B12" s="110" t="s">
        <v>1</v>
      </c>
      <c r="C12" s="16" t="s">
        <v>27</v>
      </c>
      <c r="D12" s="13" t="s">
        <v>31</v>
      </c>
      <c r="E12" s="14"/>
      <c r="F12" s="14"/>
      <c r="G12" s="14"/>
      <c r="H12" s="14"/>
      <c r="I12" s="15">
        <v>1</v>
      </c>
    </row>
    <row r="13" spans="1:10" x14ac:dyDescent="0.25">
      <c r="A13" s="119"/>
      <c r="B13" s="110"/>
      <c r="C13" s="12" t="s">
        <v>28</v>
      </c>
      <c r="D13" s="13" t="s">
        <v>31</v>
      </c>
      <c r="E13" s="14"/>
      <c r="F13" s="14"/>
      <c r="G13" s="14"/>
      <c r="H13" s="14"/>
      <c r="I13" s="15">
        <v>1</v>
      </c>
    </row>
    <row r="14" spans="1:10" x14ac:dyDescent="0.25">
      <c r="A14" s="119"/>
      <c r="B14" s="110" t="s">
        <v>2</v>
      </c>
      <c r="C14" s="16" t="s">
        <v>27</v>
      </c>
      <c r="D14" s="13" t="s">
        <v>31</v>
      </c>
      <c r="E14" s="14"/>
      <c r="F14" s="14"/>
      <c r="G14" s="14"/>
      <c r="H14" s="14"/>
      <c r="I14" s="15">
        <v>1</v>
      </c>
    </row>
    <row r="15" spans="1:10" x14ac:dyDescent="0.25">
      <c r="A15" s="119"/>
      <c r="B15" s="110"/>
      <c r="C15" s="12" t="s">
        <v>28</v>
      </c>
      <c r="D15" s="13" t="s">
        <v>31</v>
      </c>
      <c r="E15" s="14"/>
      <c r="F15" s="14"/>
      <c r="G15" s="14"/>
      <c r="H15" s="14"/>
      <c r="I15" s="15">
        <v>1</v>
      </c>
    </row>
    <row r="16" spans="1:10" x14ac:dyDescent="0.25">
      <c r="A16" s="119"/>
      <c r="B16" s="110" t="s">
        <v>3</v>
      </c>
      <c r="C16" s="16" t="s">
        <v>27</v>
      </c>
      <c r="D16" s="13"/>
      <c r="E16" s="14" t="s">
        <v>31</v>
      </c>
      <c r="F16" s="14"/>
      <c r="G16" s="14"/>
      <c r="H16" s="14"/>
      <c r="I16" s="15">
        <v>1</v>
      </c>
    </row>
    <row r="17" spans="1:9" x14ac:dyDescent="0.25">
      <c r="A17" s="119"/>
      <c r="B17" s="110"/>
      <c r="C17" s="12" t="s">
        <v>28</v>
      </c>
      <c r="D17" s="13"/>
      <c r="E17" s="14" t="s">
        <v>31</v>
      </c>
      <c r="F17" s="14"/>
      <c r="G17" s="14"/>
      <c r="H17" s="14"/>
      <c r="I17" s="15">
        <v>1</v>
      </c>
    </row>
    <row r="18" spans="1:9" x14ac:dyDescent="0.25">
      <c r="A18" s="119"/>
      <c r="B18" s="110" t="s">
        <v>4</v>
      </c>
      <c r="C18" s="16" t="s">
        <v>27</v>
      </c>
      <c r="D18" s="13"/>
      <c r="E18" s="14" t="s">
        <v>31</v>
      </c>
      <c r="F18" s="14"/>
      <c r="G18" s="14"/>
      <c r="H18" s="14"/>
      <c r="I18" s="15">
        <v>1</v>
      </c>
    </row>
    <row r="19" spans="1:9" ht="15.75" thickBot="1" x14ac:dyDescent="0.3">
      <c r="A19" s="114"/>
      <c r="B19" s="110"/>
      <c r="C19" s="12" t="s">
        <v>28</v>
      </c>
      <c r="D19" s="13"/>
      <c r="E19" s="14" t="s">
        <v>31</v>
      </c>
      <c r="F19" s="14"/>
      <c r="G19" s="14"/>
      <c r="H19" s="14"/>
      <c r="I19" s="15">
        <v>1</v>
      </c>
    </row>
    <row r="20" spans="1:9" ht="15.6" customHeight="1" x14ac:dyDescent="0.25">
      <c r="A20" s="118" t="s">
        <v>22</v>
      </c>
      <c r="B20" s="110" t="s">
        <v>5</v>
      </c>
      <c r="C20" s="16" t="s">
        <v>27</v>
      </c>
      <c r="D20" s="13"/>
      <c r="E20" s="14" t="s">
        <v>31</v>
      </c>
      <c r="F20" s="14"/>
      <c r="G20" s="14"/>
      <c r="H20" s="14"/>
      <c r="I20" s="15">
        <v>1</v>
      </c>
    </row>
    <row r="21" spans="1:9" ht="15.75" thickBot="1" x14ac:dyDescent="0.3">
      <c r="A21" s="120"/>
      <c r="B21" s="110"/>
      <c r="C21" s="12" t="s">
        <v>28</v>
      </c>
      <c r="D21" s="13"/>
      <c r="E21" s="14" t="s">
        <v>31</v>
      </c>
      <c r="F21" s="14"/>
      <c r="G21" s="14"/>
      <c r="H21" s="14"/>
      <c r="I21" s="15">
        <v>1</v>
      </c>
    </row>
    <row r="22" spans="1:9" ht="14.45" customHeight="1" x14ac:dyDescent="0.25">
      <c r="A22" s="113" t="s">
        <v>23</v>
      </c>
      <c r="B22" s="110" t="s">
        <v>6</v>
      </c>
      <c r="C22" s="16" t="s">
        <v>27</v>
      </c>
      <c r="D22" s="13"/>
      <c r="E22" s="14"/>
      <c r="F22" s="14" t="s">
        <v>31</v>
      </c>
      <c r="G22" s="14"/>
      <c r="H22" s="14"/>
      <c r="I22" s="15">
        <v>1</v>
      </c>
    </row>
    <row r="23" spans="1:9" x14ac:dyDescent="0.25">
      <c r="A23" s="119"/>
      <c r="B23" s="110"/>
      <c r="C23" s="12" t="s">
        <v>28</v>
      </c>
      <c r="D23" s="13"/>
      <c r="E23" s="14"/>
      <c r="F23" s="14" t="s">
        <v>31</v>
      </c>
      <c r="G23" s="14"/>
      <c r="H23" s="14"/>
      <c r="I23" s="15">
        <v>1</v>
      </c>
    </row>
    <row r="24" spans="1:9" x14ac:dyDescent="0.25">
      <c r="A24" s="119"/>
      <c r="B24" s="110" t="s">
        <v>7</v>
      </c>
      <c r="C24" s="16" t="s">
        <v>27</v>
      </c>
      <c r="D24" s="13"/>
      <c r="E24" s="14"/>
      <c r="F24" s="14" t="s">
        <v>31</v>
      </c>
      <c r="G24" s="14"/>
      <c r="H24" s="14"/>
      <c r="I24" s="15">
        <v>1</v>
      </c>
    </row>
    <row r="25" spans="1:9" x14ac:dyDescent="0.25">
      <c r="A25" s="119"/>
      <c r="B25" s="110"/>
      <c r="C25" s="12" t="s">
        <v>28</v>
      </c>
      <c r="D25" s="13"/>
      <c r="E25" s="14"/>
      <c r="F25" s="14" t="s">
        <v>31</v>
      </c>
      <c r="G25" s="14"/>
      <c r="H25" s="14"/>
      <c r="I25" s="15">
        <v>1</v>
      </c>
    </row>
    <row r="26" spans="1:9" x14ac:dyDescent="0.25">
      <c r="A26" s="119"/>
      <c r="B26" s="110" t="s">
        <v>8</v>
      </c>
      <c r="C26" s="16" t="s">
        <v>27</v>
      </c>
      <c r="D26" s="13"/>
      <c r="E26" s="14"/>
      <c r="F26" s="14" t="s">
        <v>31</v>
      </c>
      <c r="G26" s="14"/>
      <c r="H26" s="14"/>
      <c r="I26" s="15">
        <v>1</v>
      </c>
    </row>
    <row r="27" spans="1:9" x14ac:dyDescent="0.25">
      <c r="A27" s="119"/>
      <c r="B27" s="110"/>
      <c r="C27" s="12" t="s">
        <v>28</v>
      </c>
      <c r="D27" s="13"/>
      <c r="E27" s="14"/>
      <c r="F27" s="14" t="s">
        <v>31</v>
      </c>
      <c r="G27" s="14"/>
      <c r="H27" s="14"/>
      <c r="I27" s="15">
        <v>1</v>
      </c>
    </row>
    <row r="28" spans="1:9" x14ac:dyDescent="0.25">
      <c r="A28" s="119"/>
      <c r="B28" s="110" t="s">
        <v>9</v>
      </c>
      <c r="C28" s="16" t="s">
        <v>27</v>
      </c>
      <c r="D28" s="13"/>
      <c r="E28" s="14"/>
      <c r="F28" s="14" t="s">
        <v>31</v>
      </c>
      <c r="G28" s="14"/>
      <c r="H28" s="14"/>
      <c r="I28" s="15">
        <v>1</v>
      </c>
    </row>
    <row r="29" spans="1:9" x14ac:dyDescent="0.25">
      <c r="A29" s="119"/>
      <c r="B29" s="110"/>
      <c r="C29" s="12" t="s">
        <v>28</v>
      </c>
      <c r="D29" s="13"/>
      <c r="E29" s="14"/>
      <c r="F29" s="14" t="s">
        <v>31</v>
      </c>
      <c r="G29" s="14"/>
      <c r="H29" s="14"/>
      <c r="I29" s="15">
        <v>1</v>
      </c>
    </row>
    <row r="30" spans="1:9" x14ac:dyDescent="0.25">
      <c r="A30" s="119"/>
      <c r="B30" s="110" t="s">
        <v>10</v>
      </c>
      <c r="C30" s="16" t="s">
        <v>27</v>
      </c>
      <c r="D30" s="13"/>
      <c r="E30" s="14"/>
      <c r="F30" s="14" t="s">
        <v>31</v>
      </c>
      <c r="G30" s="14"/>
      <c r="H30" s="14"/>
      <c r="I30" s="15">
        <v>1</v>
      </c>
    </row>
    <row r="31" spans="1:9" x14ac:dyDescent="0.25">
      <c r="A31" s="119"/>
      <c r="B31" s="110"/>
      <c r="C31" s="12" t="s">
        <v>28</v>
      </c>
      <c r="D31" s="13"/>
      <c r="E31" s="14"/>
      <c r="F31" s="14" t="s">
        <v>31</v>
      </c>
      <c r="G31" s="14"/>
      <c r="H31" s="14"/>
      <c r="I31" s="15">
        <v>1</v>
      </c>
    </row>
    <row r="32" spans="1:9" x14ac:dyDescent="0.25">
      <c r="A32" s="119"/>
      <c r="B32" s="110" t="s">
        <v>11</v>
      </c>
      <c r="C32" s="16" t="s">
        <v>27</v>
      </c>
      <c r="D32" s="13"/>
      <c r="E32" s="14"/>
      <c r="F32" s="14" t="s">
        <v>31</v>
      </c>
      <c r="G32" s="14"/>
      <c r="H32" s="14"/>
      <c r="I32" s="15">
        <v>1</v>
      </c>
    </row>
    <row r="33" spans="1:9" ht="15.75" thickBot="1" x14ac:dyDescent="0.3">
      <c r="A33" s="114"/>
      <c r="B33" s="110"/>
      <c r="C33" s="12" t="s">
        <v>28</v>
      </c>
      <c r="D33" s="13"/>
      <c r="E33" s="14"/>
      <c r="F33" s="14" t="s">
        <v>31</v>
      </c>
      <c r="G33" s="14"/>
      <c r="H33" s="14"/>
      <c r="I33" s="15">
        <v>1</v>
      </c>
    </row>
    <row r="34" spans="1:9" ht="14.45" customHeight="1" x14ac:dyDescent="0.25">
      <c r="A34" s="118" t="s">
        <v>24</v>
      </c>
      <c r="B34" s="110" t="s">
        <v>12</v>
      </c>
      <c r="C34" s="16" t="s">
        <v>27</v>
      </c>
      <c r="D34" s="13"/>
      <c r="E34" s="14"/>
      <c r="F34" s="14"/>
      <c r="G34" s="14" t="s">
        <v>31</v>
      </c>
      <c r="H34" s="14"/>
      <c r="I34" s="15">
        <v>1</v>
      </c>
    </row>
    <row r="35" spans="1:9" x14ac:dyDescent="0.25">
      <c r="A35" s="119"/>
      <c r="B35" s="110"/>
      <c r="C35" s="12" t="s">
        <v>28</v>
      </c>
      <c r="D35" s="13"/>
      <c r="E35" s="14"/>
      <c r="F35" s="14"/>
      <c r="G35" s="14" t="s">
        <v>31</v>
      </c>
      <c r="H35" s="14"/>
      <c r="I35" s="15">
        <v>1</v>
      </c>
    </row>
    <row r="36" spans="1:9" x14ac:dyDescent="0.25">
      <c r="A36" s="119"/>
      <c r="B36" s="110" t="s">
        <v>13</v>
      </c>
      <c r="C36" s="16" t="s">
        <v>27</v>
      </c>
      <c r="D36" s="13"/>
      <c r="E36" s="14"/>
      <c r="F36" s="14"/>
      <c r="G36" s="14" t="s">
        <v>31</v>
      </c>
      <c r="H36" s="14"/>
      <c r="I36" s="15">
        <v>1</v>
      </c>
    </row>
    <row r="37" spans="1:9" x14ac:dyDescent="0.25">
      <c r="A37" s="119"/>
      <c r="B37" s="110"/>
      <c r="C37" s="12" t="s">
        <v>28</v>
      </c>
      <c r="D37" s="13"/>
      <c r="E37" s="14"/>
      <c r="F37" s="14"/>
      <c r="G37" s="14" t="s">
        <v>31</v>
      </c>
      <c r="H37" s="14"/>
      <c r="I37" s="15">
        <v>1</v>
      </c>
    </row>
    <row r="38" spans="1:9" x14ac:dyDescent="0.25">
      <c r="A38" s="119"/>
      <c r="B38" s="110" t="s">
        <v>14</v>
      </c>
      <c r="C38" s="16" t="s">
        <v>27</v>
      </c>
      <c r="D38" s="13"/>
      <c r="E38" s="14"/>
      <c r="F38" s="14"/>
      <c r="G38" s="14" t="s">
        <v>31</v>
      </c>
      <c r="H38" s="14"/>
      <c r="I38" s="15">
        <v>1</v>
      </c>
    </row>
    <row r="39" spans="1:9" x14ac:dyDescent="0.25">
      <c r="A39" s="119"/>
      <c r="B39" s="110"/>
      <c r="C39" s="12" t="s">
        <v>28</v>
      </c>
      <c r="D39" s="13"/>
      <c r="E39" s="14"/>
      <c r="F39" s="14"/>
      <c r="G39" s="14" t="s">
        <v>31</v>
      </c>
      <c r="H39" s="14"/>
      <c r="I39" s="15">
        <v>1</v>
      </c>
    </row>
    <row r="40" spans="1:9" x14ac:dyDescent="0.25">
      <c r="A40" s="119"/>
      <c r="B40" s="110" t="s">
        <v>15</v>
      </c>
      <c r="C40" s="16" t="s">
        <v>27</v>
      </c>
      <c r="D40" s="13"/>
      <c r="E40" s="14"/>
      <c r="F40" s="14"/>
      <c r="G40" s="14" t="s">
        <v>31</v>
      </c>
      <c r="H40" s="14"/>
      <c r="I40" s="15">
        <v>1</v>
      </c>
    </row>
    <row r="41" spans="1:9" x14ac:dyDescent="0.25">
      <c r="A41" s="119"/>
      <c r="B41" s="110"/>
      <c r="C41" s="12" t="s">
        <v>28</v>
      </c>
      <c r="D41" s="13"/>
      <c r="E41" s="14"/>
      <c r="F41" s="14"/>
      <c r="G41" s="14" t="s">
        <v>31</v>
      </c>
      <c r="H41" s="14"/>
      <c r="I41" s="15">
        <v>1</v>
      </c>
    </row>
    <row r="42" spans="1:9" x14ac:dyDescent="0.25">
      <c r="A42" s="119"/>
      <c r="B42" s="110" t="s">
        <v>16</v>
      </c>
      <c r="C42" s="16" t="s">
        <v>27</v>
      </c>
      <c r="D42" s="13"/>
      <c r="E42" s="14"/>
      <c r="F42" s="14"/>
      <c r="G42" s="14" t="s">
        <v>31</v>
      </c>
      <c r="H42" s="14"/>
      <c r="I42" s="15">
        <v>1</v>
      </c>
    </row>
    <row r="43" spans="1:9" ht="15.75" thickBot="1" x14ac:dyDescent="0.3">
      <c r="A43" s="120"/>
      <c r="B43" s="110"/>
      <c r="C43" s="12" t="s">
        <v>28</v>
      </c>
      <c r="D43" s="13"/>
      <c r="E43" s="14"/>
      <c r="F43" s="14"/>
      <c r="G43" s="14" t="s">
        <v>31</v>
      </c>
      <c r="H43" s="14"/>
      <c r="I43" s="15">
        <v>1</v>
      </c>
    </row>
    <row r="44" spans="1:9" x14ac:dyDescent="0.25">
      <c r="A44" s="113" t="s">
        <v>25</v>
      </c>
      <c r="B44" s="110" t="s">
        <v>39</v>
      </c>
      <c r="C44" s="16" t="s">
        <v>27</v>
      </c>
      <c r="D44" s="13"/>
      <c r="E44" s="14"/>
      <c r="F44" s="14"/>
      <c r="G44" s="14"/>
      <c r="H44" s="14" t="s">
        <v>31</v>
      </c>
      <c r="I44" s="15">
        <v>1</v>
      </c>
    </row>
    <row r="45" spans="1:9" ht="15.75" thickBot="1" x14ac:dyDescent="0.3">
      <c r="A45" s="114"/>
      <c r="B45" s="110"/>
      <c r="C45" s="12" t="s">
        <v>28</v>
      </c>
      <c r="D45" s="13"/>
      <c r="E45" s="14"/>
      <c r="F45" s="14"/>
      <c r="G45" s="14"/>
      <c r="H45" s="14" t="s">
        <v>31</v>
      </c>
      <c r="I45" s="15">
        <v>1</v>
      </c>
    </row>
    <row r="46" spans="1:9" x14ac:dyDescent="0.25">
      <c r="A46" s="121" t="s">
        <v>26</v>
      </c>
      <c r="B46" s="110" t="s">
        <v>40</v>
      </c>
      <c r="C46" s="16" t="s">
        <v>27</v>
      </c>
      <c r="D46" s="13" t="s">
        <v>31</v>
      </c>
      <c r="E46" s="14"/>
      <c r="F46" s="14"/>
      <c r="G46" s="14"/>
      <c r="H46" s="14"/>
      <c r="I46" s="15">
        <v>1</v>
      </c>
    </row>
    <row r="47" spans="1:9" x14ac:dyDescent="0.25">
      <c r="A47" s="122"/>
      <c r="B47" s="110"/>
      <c r="C47" s="12" t="s">
        <v>28</v>
      </c>
      <c r="D47" s="13" t="s">
        <v>31</v>
      </c>
      <c r="E47" s="14"/>
      <c r="F47" s="14"/>
      <c r="G47" s="14"/>
      <c r="H47" s="14"/>
      <c r="I47" s="15">
        <v>1</v>
      </c>
    </row>
    <row r="48" spans="1:9" x14ac:dyDescent="0.25">
      <c r="A48" s="122"/>
      <c r="B48" s="110" t="s">
        <v>41</v>
      </c>
      <c r="C48" s="16" t="s">
        <v>27</v>
      </c>
      <c r="D48" s="13" t="s">
        <v>31</v>
      </c>
      <c r="E48" s="14"/>
      <c r="F48" s="14"/>
      <c r="G48" s="14"/>
      <c r="H48" s="14"/>
      <c r="I48" s="15">
        <v>1</v>
      </c>
    </row>
    <row r="49" spans="1:9" ht="15.75" thickBot="1" x14ac:dyDescent="0.3">
      <c r="A49" s="123"/>
      <c r="B49" s="112"/>
      <c r="C49" s="17" t="s">
        <v>28</v>
      </c>
      <c r="D49" s="18" t="s">
        <v>31</v>
      </c>
      <c r="E49" s="19"/>
      <c r="F49" s="19"/>
      <c r="G49" s="19"/>
      <c r="H49" s="19"/>
      <c r="I49" s="20">
        <v>1</v>
      </c>
    </row>
  </sheetData>
  <mergeCells count="36">
    <mergeCell ref="B7:B9"/>
    <mergeCell ref="A7:A9"/>
    <mergeCell ref="A46:A49"/>
    <mergeCell ref="A1:B2"/>
    <mergeCell ref="C2:I4"/>
    <mergeCell ref="C1:I1"/>
    <mergeCell ref="C6:I6"/>
    <mergeCell ref="C8:D8"/>
    <mergeCell ref="I7:I9"/>
    <mergeCell ref="C7:H7"/>
    <mergeCell ref="E8:H8"/>
    <mergeCell ref="A34:A43"/>
    <mergeCell ref="A22:A33"/>
    <mergeCell ref="A20:A21"/>
    <mergeCell ref="A10:A19"/>
    <mergeCell ref="B46:B47"/>
    <mergeCell ref="B48:B49"/>
    <mergeCell ref="A44:A45"/>
    <mergeCell ref="B34:B35"/>
    <mergeCell ref="B36:B37"/>
    <mergeCell ref="B38:B39"/>
    <mergeCell ref="B40:B41"/>
    <mergeCell ref="B42:B43"/>
    <mergeCell ref="B44:B45"/>
    <mergeCell ref="B32:B33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2" sqref="B2"/>
    </sheetView>
  </sheetViews>
  <sheetFormatPr baseColWidth="10" defaultRowHeight="15" x14ac:dyDescent="0.25"/>
  <cols>
    <col min="2" max="2" width="22.5703125" bestFit="1" customWidth="1"/>
    <col min="4" max="4" width="11.140625" style="31" bestFit="1" customWidth="1"/>
  </cols>
  <sheetData>
    <row r="2" spans="2:4" x14ac:dyDescent="0.25">
      <c r="B2" s="32" t="s">
        <v>63</v>
      </c>
    </row>
    <row r="4" spans="2:4" x14ac:dyDescent="0.25">
      <c r="B4" t="s">
        <v>64</v>
      </c>
      <c r="C4" t="s">
        <v>65</v>
      </c>
      <c r="D4" s="31">
        <v>23000000</v>
      </c>
    </row>
    <row r="5" spans="2:4" x14ac:dyDescent="0.25">
      <c r="C5" t="s">
        <v>66</v>
      </c>
      <c r="D5" s="31">
        <v>12000000</v>
      </c>
    </row>
    <row r="7" spans="2:4" x14ac:dyDescent="0.25">
      <c r="B7" t="s">
        <v>67</v>
      </c>
      <c r="C7" t="s">
        <v>65</v>
      </c>
      <c r="D7" s="31">
        <v>35000000</v>
      </c>
    </row>
    <row r="8" spans="2:4" x14ac:dyDescent="0.25">
      <c r="B8" s="32" t="s">
        <v>70</v>
      </c>
      <c r="C8" s="32"/>
      <c r="D8" s="33">
        <f>SUM(D4:D7)</f>
        <v>70000000</v>
      </c>
    </row>
    <row r="9" spans="2:4" x14ac:dyDescent="0.25">
      <c r="B9" s="32"/>
      <c r="C9" s="32"/>
      <c r="D9" s="33"/>
    </row>
    <row r="10" spans="2:4" x14ac:dyDescent="0.25">
      <c r="B10" s="32" t="s">
        <v>68</v>
      </c>
      <c r="C10" s="32"/>
      <c r="D10" s="33">
        <f>+D7+D4</f>
        <v>58000000</v>
      </c>
    </row>
    <row r="11" spans="2:4" x14ac:dyDescent="0.25">
      <c r="B11" s="32" t="s">
        <v>69</v>
      </c>
      <c r="C11" s="32"/>
      <c r="D11" s="33">
        <f>+D5</f>
        <v>12000000</v>
      </c>
    </row>
    <row r="12" spans="2:4" x14ac:dyDescent="0.25">
      <c r="B12" s="32"/>
      <c r="C12" s="32"/>
      <c r="D12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6"/>
  <sheetViews>
    <sheetView showGridLines="0" zoomScale="96" workbookViewId="0">
      <selection activeCell="K44" sqref="K44"/>
    </sheetView>
  </sheetViews>
  <sheetFormatPr baseColWidth="10" defaultRowHeight="15" x14ac:dyDescent="0.25"/>
  <cols>
    <col min="2" max="2" width="31.85546875" bestFit="1" customWidth="1"/>
    <col min="3" max="3" width="12.85546875" style="36" bestFit="1" customWidth="1"/>
    <col min="4" max="4" width="3.42578125" customWidth="1"/>
    <col min="5" max="5" width="12.85546875" bestFit="1" customWidth="1"/>
    <col min="6" max="6" width="3.42578125" customWidth="1"/>
    <col min="7" max="7" width="12.5703125" customWidth="1"/>
    <col min="8" max="8" width="3.42578125" customWidth="1"/>
    <col min="9" max="9" width="12.42578125" customWidth="1"/>
    <col min="10" max="10" width="3.42578125" customWidth="1"/>
    <col min="11" max="11" width="12.5703125" customWidth="1"/>
  </cols>
  <sheetData>
    <row r="1" spans="2:11" x14ac:dyDescent="0.25">
      <c r="B1" s="146" t="s">
        <v>170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2:11" x14ac:dyDescent="0.25">
      <c r="B2" s="146" t="s">
        <v>146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x14ac:dyDescent="0.25">
      <c r="B3" s="146" t="s">
        <v>147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x14ac:dyDescent="0.25"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2:11" x14ac:dyDescent="0.25">
      <c r="B5" s="3"/>
      <c r="C5" s="87" t="s">
        <v>148</v>
      </c>
      <c r="D5" s="74"/>
      <c r="E5" s="74" t="s">
        <v>149</v>
      </c>
      <c r="F5" s="74"/>
      <c r="G5" s="74" t="s">
        <v>150</v>
      </c>
      <c r="H5" s="74"/>
      <c r="I5" s="74" t="s">
        <v>151</v>
      </c>
      <c r="J5" s="74"/>
      <c r="K5" s="74" t="s">
        <v>152</v>
      </c>
    </row>
    <row r="6" spans="2:11" x14ac:dyDescent="0.25">
      <c r="B6" s="3"/>
      <c r="C6" s="88"/>
      <c r="D6" s="3"/>
      <c r="E6" s="88"/>
      <c r="F6" s="3"/>
      <c r="G6" s="88"/>
      <c r="H6" s="3"/>
      <c r="I6" s="88"/>
      <c r="J6" s="3"/>
      <c r="K6" s="88"/>
    </row>
    <row r="7" spans="2:11" x14ac:dyDescent="0.25">
      <c r="B7" s="89" t="s">
        <v>57</v>
      </c>
      <c r="C7" s="90">
        <f>+C9+C14</f>
        <v>123838578</v>
      </c>
      <c r="D7" s="3"/>
      <c r="E7" s="90">
        <f>+E9+E14</f>
        <v>170087977</v>
      </c>
      <c r="F7" s="3"/>
      <c r="G7" s="90">
        <f>+G9+G14</f>
        <v>242351580.95833331</v>
      </c>
      <c r="H7" s="3"/>
      <c r="I7" s="90">
        <f>+I9+I14</f>
        <v>295111730.34755498</v>
      </c>
      <c r="J7" s="3"/>
      <c r="K7" s="90">
        <f>+K9+K14</f>
        <v>372796800.65915447</v>
      </c>
    </row>
    <row r="8" spans="2:11" x14ac:dyDescent="0.25">
      <c r="B8" s="89"/>
      <c r="C8" s="90"/>
      <c r="D8" s="3"/>
      <c r="E8" s="90"/>
      <c r="F8" s="3"/>
      <c r="G8" s="90"/>
      <c r="H8" s="3"/>
      <c r="I8" s="90"/>
      <c r="J8" s="3"/>
      <c r="K8" s="90"/>
    </row>
    <row r="9" spans="2:11" x14ac:dyDescent="0.25">
      <c r="B9" s="76" t="s">
        <v>62</v>
      </c>
      <c r="C9" s="91">
        <f>+SUM(C10:C12)-2191618</f>
        <v>101750978</v>
      </c>
      <c r="D9" s="88"/>
      <c r="E9" s="91">
        <f>+SUM(E10:E12)</f>
        <v>130522277</v>
      </c>
      <c r="F9" s="88"/>
      <c r="G9" s="91">
        <f>+SUM(G10:G12)</f>
        <v>179974447.625</v>
      </c>
      <c r="H9" s="88"/>
      <c r="I9" s="91">
        <f>+SUM(I10:I12)</f>
        <v>211585027.34755498</v>
      </c>
      <c r="J9" s="88"/>
      <c r="K9" s="91">
        <f>+SUM(K10:K12)</f>
        <v>255388421.9091545</v>
      </c>
    </row>
    <row r="10" spans="2:11" x14ac:dyDescent="0.25">
      <c r="B10" s="3" t="s">
        <v>58</v>
      </c>
      <c r="C10" s="88">
        <v>20694096</v>
      </c>
      <c r="D10" s="88"/>
      <c r="E10" s="88">
        <v>28184977</v>
      </c>
      <c r="F10" s="88"/>
      <c r="G10" s="88">
        <v>52277465.5</v>
      </c>
      <c r="H10" s="88"/>
      <c r="I10" s="88">
        <v>66392381.185000002</v>
      </c>
      <c r="J10" s="88"/>
      <c r="K10" s="88">
        <v>75680151.401200011</v>
      </c>
    </row>
    <row r="11" spans="2:11" x14ac:dyDescent="0.25">
      <c r="B11" s="3" t="s">
        <v>59</v>
      </c>
      <c r="C11" s="88">
        <f>99500*(320+320/2)</f>
        <v>47760000</v>
      </c>
      <c r="D11" s="88"/>
      <c r="E11" s="88">
        <f>+C11*122%</f>
        <v>58267200</v>
      </c>
      <c r="F11" s="88"/>
      <c r="G11" s="88">
        <f>+E11*116%</f>
        <v>67589952</v>
      </c>
      <c r="H11" s="88"/>
      <c r="I11" s="88">
        <v>74397389.439999998</v>
      </c>
      <c r="J11" s="88"/>
      <c r="K11" s="88">
        <f>+I11*113%</f>
        <v>84069050.06719999</v>
      </c>
    </row>
    <row r="12" spans="2:11" x14ac:dyDescent="0.25">
      <c r="B12" s="3" t="s">
        <v>61</v>
      </c>
      <c r="C12" s="88">
        <v>35488500</v>
      </c>
      <c r="D12" s="88"/>
      <c r="E12" s="88">
        <v>44070100</v>
      </c>
      <c r="F12" s="88"/>
      <c r="G12" s="88">
        <v>60107030.125</v>
      </c>
      <c r="H12" s="88"/>
      <c r="I12" s="88">
        <v>70795256.722554997</v>
      </c>
      <c r="J12" s="88"/>
      <c r="K12" s="88">
        <v>95639220.440754503</v>
      </c>
    </row>
    <row r="13" spans="2:11" x14ac:dyDescent="0.25">
      <c r="B13" s="3"/>
      <c r="C13" s="88"/>
      <c r="D13" s="88"/>
      <c r="E13" s="88"/>
      <c r="F13" s="88"/>
      <c r="G13" s="88"/>
      <c r="H13" s="88"/>
      <c r="I13" s="88"/>
      <c r="J13" s="88"/>
      <c r="K13" s="88"/>
    </row>
    <row r="14" spans="2:11" x14ac:dyDescent="0.25">
      <c r="B14" s="76" t="s">
        <v>71</v>
      </c>
      <c r="C14" s="91">
        <f>+SUM(C15:C15)</f>
        <v>22087600</v>
      </c>
      <c r="D14" s="88"/>
      <c r="E14" s="91">
        <f>+SUM(E15:E15)</f>
        <v>39565700</v>
      </c>
      <c r="F14" s="88"/>
      <c r="G14" s="91">
        <f>+SUM(G15:G15)</f>
        <v>62377133.333333328</v>
      </c>
      <c r="H14" s="88"/>
      <c r="I14" s="91">
        <f>+SUM(I15:I15)</f>
        <v>83526702.999999985</v>
      </c>
      <c r="J14" s="88"/>
      <c r="K14" s="91">
        <f>+SUM(K15:K15)</f>
        <v>117408378.74999999</v>
      </c>
    </row>
    <row r="15" spans="2:11" x14ac:dyDescent="0.25">
      <c r="B15" s="3" t="s">
        <v>60</v>
      </c>
      <c r="C15" s="88">
        <f>(+'NECESIDADES DE INVERSION'!D20+'APORTES SOCIALES'!D11+'NECESIDADES DE INVERSION'!D2)+1250000-(21672000/60*12)</f>
        <v>22087600</v>
      </c>
      <c r="D15" s="88"/>
      <c r="E15" s="88">
        <v>39565700</v>
      </c>
      <c r="F15" s="88"/>
      <c r="G15" s="88">
        <v>62377133.333333328</v>
      </c>
      <c r="H15" s="88"/>
      <c r="I15" s="88">
        <v>83526702.999999985</v>
      </c>
      <c r="J15" s="88"/>
      <c r="K15" s="88">
        <v>117408378.74999999</v>
      </c>
    </row>
    <row r="16" spans="2:11" x14ac:dyDescent="0.25">
      <c r="B16" s="3"/>
      <c r="C16" s="88"/>
      <c r="D16" s="3"/>
      <c r="E16" s="3"/>
      <c r="F16" s="3"/>
      <c r="G16" s="3"/>
      <c r="H16" s="3"/>
      <c r="I16" s="3"/>
      <c r="J16" s="3"/>
      <c r="K16" s="3"/>
    </row>
    <row r="17" spans="2:11" x14ac:dyDescent="0.25">
      <c r="B17" s="3"/>
      <c r="C17" s="88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 s="76" t="s">
        <v>72</v>
      </c>
      <c r="C18" s="91">
        <f>+SUM(C20:C24)</f>
        <v>40098858.489599988</v>
      </c>
      <c r="D18" s="88"/>
      <c r="E18" s="91">
        <f>+SUM(E20:E24)</f>
        <v>55199474.248952001</v>
      </c>
      <c r="F18" s="88"/>
      <c r="G18" s="91">
        <f>+SUM(G20:G24)</f>
        <v>83618737.392350957</v>
      </c>
      <c r="H18" s="88"/>
      <c r="I18" s="91">
        <f>+SUM(I20:I24)</f>
        <v>76674179.101544797</v>
      </c>
      <c r="J18" s="88"/>
      <c r="K18" s="91">
        <f>+SUM(K20:K24)</f>
        <v>80785697.35662204</v>
      </c>
    </row>
    <row r="19" spans="2:11" x14ac:dyDescent="0.25">
      <c r="B19" s="76"/>
      <c r="C19" s="91"/>
      <c r="D19" s="88"/>
      <c r="E19" s="91"/>
      <c r="F19" s="88"/>
      <c r="G19" s="91"/>
      <c r="H19" s="88"/>
      <c r="I19" s="91"/>
      <c r="J19" s="88"/>
      <c r="K19" s="91"/>
    </row>
    <row r="20" spans="2:11" x14ac:dyDescent="0.25">
      <c r="B20" s="3" t="s">
        <v>73</v>
      </c>
      <c r="C20" s="88">
        <v>0</v>
      </c>
      <c r="D20" s="88"/>
      <c r="E20" s="88">
        <v>0</v>
      </c>
      <c r="F20" s="88"/>
      <c r="G20" s="92">
        <f>24000000/60*48</f>
        <v>19200000</v>
      </c>
      <c r="H20" s="92"/>
      <c r="I20" s="92">
        <f>24000000/60*36</f>
        <v>14400000</v>
      </c>
      <c r="J20" s="92"/>
      <c r="K20" s="92">
        <f>24000000/60*24</f>
        <v>9600000</v>
      </c>
    </row>
    <row r="21" spans="2:11" x14ac:dyDescent="0.25">
      <c r="B21" s="3" t="s">
        <v>74</v>
      </c>
      <c r="C21" s="88">
        <f>+'NECESIDADES DE INVERSION'!F36+'NECESIDADES DE INVERSION'!F36/2</f>
        <v>23707500</v>
      </c>
      <c r="D21" s="88"/>
      <c r="E21" s="88">
        <v>27250312</v>
      </c>
      <c r="F21" s="88"/>
      <c r="G21" s="88">
        <v>29257077</v>
      </c>
      <c r="H21" s="88"/>
      <c r="I21" s="88">
        <v>31715474</v>
      </c>
      <c r="J21" s="88"/>
      <c r="K21" s="88">
        <v>47551200</v>
      </c>
    </row>
    <row r="22" spans="2:11" x14ac:dyDescent="0.25">
      <c r="B22" s="3" t="s">
        <v>75</v>
      </c>
      <c r="C22" s="88">
        <f>+'COSTOS Y GASTOS'!E15+'COSTOS Y GASTOS'!E13</f>
        <v>1850000</v>
      </c>
      <c r="D22" s="88"/>
      <c r="E22" s="88">
        <v>3520000</v>
      </c>
      <c r="F22" s="88"/>
      <c r="G22" s="88">
        <v>2841000</v>
      </c>
      <c r="H22" s="88"/>
      <c r="I22" s="88">
        <v>6847000</v>
      </c>
      <c r="J22" s="88"/>
      <c r="K22" s="88">
        <v>10251200</v>
      </c>
    </row>
    <row r="23" spans="2:11" x14ac:dyDescent="0.25">
      <c r="B23" s="3" t="s">
        <v>76</v>
      </c>
      <c r="C23" s="88">
        <v>7231819.4751999909</v>
      </c>
      <c r="D23" s="88"/>
      <c r="E23" s="88">
        <f>+ER!E22</f>
        <v>16754146.283832002</v>
      </c>
      <c r="F23" s="88"/>
      <c r="G23" s="88">
        <f>+ER!G22</f>
        <v>24261893.628974956</v>
      </c>
      <c r="H23" s="88"/>
      <c r="I23" s="88">
        <v>15250000</v>
      </c>
      <c r="J23" s="88"/>
      <c r="K23" s="88">
        <v>4498507</v>
      </c>
    </row>
    <row r="24" spans="2:11" x14ac:dyDescent="0.25">
      <c r="B24" s="3" t="s">
        <v>77</v>
      </c>
      <c r="C24" s="88">
        <f>+('COSTOS Y GASTOS'!E5+'COSTOS Y GASTOS'!E6+'COSTOS Y GASTOS'!E7+'COSTOS Y GASTOS'!E8+'COSTOS Y GASTOS'!E9+'COSTOS Y GASTOS'!E5)*8.33%*12</f>
        <v>7309539.0143999998</v>
      </c>
      <c r="D24" s="88"/>
      <c r="E24" s="88">
        <f>+C24*105%</f>
        <v>7675015.9651199998</v>
      </c>
      <c r="F24" s="88"/>
      <c r="G24" s="88">
        <f>+E24*105%</f>
        <v>8058766.7633760003</v>
      </c>
      <c r="H24" s="88"/>
      <c r="I24" s="88">
        <f>+G24*105%</f>
        <v>8461705.1015448011</v>
      </c>
      <c r="J24" s="88"/>
      <c r="K24" s="88">
        <f>+I24*105%</f>
        <v>8884790.3566220421</v>
      </c>
    </row>
    <row r="25" spans="2:11" x14ac:dyDescent="0.25">
      <c r="B25" s="3"/>
      <c r="C25" s="88"/>
      <c r="D25" s="88"/>
      <c r="E25" s="88"/>
      <c r="F25" s="88"/>
      <c r="G25" s="88"/>
      <c r="H25" s="88"/>
      <c r="I25" s="88"/>
      <c r="J25" s="88"/>
      <c r="K25" s="88"/>
    </row>
    <row r="26" spans="2:11" x14ac:dyDescent="0.25">
      <c r="B26" s="3"/>
      <c r="C26" s="88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76" t="s">
        <v>78</v>
      </c>
      <c r="C27" s="91">
        <f>+SUM(C29:C32)</f>
        <v>83739719.804799989</v>
      </c>
      <c r="D27" s="3"/>
      <c r="E27" s="91">
        <f>+SUM(E29:E32)</f>
        <v>114888502.37528798</v>
      </c>
      <c r="F27" s="3"/>
      <c r="G27" s="91">
        <f>+SUM(G29:G32)</f>
        <v>158732843.96467197</v>
      </c>
      <c r="H27" s="3"/>
      <c r="I27" s="91">
        <f>+SUM(I29:I32)</f>
        <v>218437551.29315746</v>
      </c>
      <c r="J27" s="3"/>
      <c r="K27" s="91">
        <f>+SUM(K29:K32)</f>
        <v>292011103.39195371</v>
      </c>
    </row>
    <row r="28" spans="2:11" x14ac:dyDescent="0.25">
      <c r="B28" s="76"/>
      <c r="C28" s="91"/>
      <c r="D28" s="3"/>
      <c r="E28" s="91"/>
      <c r="F28" s="3"/>
      <c r="G28" s="91"/>
      <c r="H28" s="3"/>
      <c r="I28" s="91"/>
      <c r="J28" s="3"/>
      <c r="K28" s="91"/>
    </row>
    <row r="29" spans="2:11" x14ac:dyDescent="0.25">
      <c r="B29" s="3" t="s">
        <v>79</v>
      </c>
      <c r="C29" s="88">
        <f>+'APORTES SOCIALES'!D8</f>
        <v>70000000</v>
      </c>
      <c r="D29" s="3"/>
      <c r="E29" s="75">
        <f>+C29</f>
        <v>70000000</v>
      </c>
      <c r="F29" s="75"/>
      <c r="G29" s="75">
        <f>+E29</f>
        <v>70000000</v>
      </c>
      <c r="H29" s="75"/>
      <c r="I29" s="75">
        <f>+G29</f>
        <v>70000000</v>
      </c>
      <c r="J29" s="75"/>
      <c r="K29" s="75">
        <f>+I29</f>
        <v>70000000</v>
      </c>
    </row>
    <row r="30" spans="2:11" x14ac:dyDescent="0.25">
      <c r="B30" s="3" t="s">
        <v>80</v>
      </c>
      <c r="C30" s="88">
        <f>+ER!C24*10%</f>
        <v>1373971.9804799983</v>
      </c>
      <c r="D30" s="3"/>
      <c r="E30" s="75">
        <f>+ER!E24*10%</f>
        <v>3252275.4550968003</v>
      </c>
      <c r="F30" s="75"/>
      <c r="G30" s="75">
        <f>+ER!G24*10%</f>
        <v>4709661.7044480788</v>
      </c>
      <c r="H30" s="75"/>
      <c r="I30" s="75">
        <f>+ER!I24*10%</f>
        <v>6441436.90329336</v>
      </c>
      <c r="J30" s="75"/>
      <c r="K30" s="75">
        <f>+ER!K24*10%</f>
        <v>8001498.9002089538</v>
      </c>
    </row>
    <row r="31" spans="2:11" x14ac:dyDescent="0.25">
      <c r="B31" s="3" t="s">
        <v>81</v>
      </c>
      <c r="C31" s="88">
        <v>0</v>
      </c>
      <c r="D31" s="3"/>
      <c r="E31" s="75">
        <f>+C32</f>
        <v>12365747.824319983</v>
      </c>
      <c r="F31" s="75"/>
      <c r="G31" s="75">
        <f>+E31+E32</f>
        <v>41636226.920191184</v>
      </c>
      <c r="H31" s="75"/>
      <c r="I31" s="75">
        <f>+G31+G32</f>
        <v>84023182.260223895</v>
      </c>
      <c r="J31" s="75"/>
      <c r="K31" s="75">
        <f>+I31+I32</f>
        <v>141996114.38986415</v>
      </c>
    </row>
    <row r="32" spans="2:11" x14ac:dyDescent="0.25">
      <c r="B32" s="3" t="s">
        <v>82</v>
      </c>
      <c r="C32" s="88">
        <f>+ER!C24*90%</f>
        <v>12365747.824319983</v>
      </c>
      <c r="D32" s="3"/>
      <c r="E32" s="75">
        <f>+ER!E24*90%</f>
        <v>29270479.095871203</v>
      </c>
      <c r="F32" s="75"/>
      <c r="G32" s="75">
        <f>+ER!G24*90%</f>
        <v>42386955.340032712</v>
      </c>
      <c r="H32" s="75"/>
      <c r="I32" s="75">
        <f>+ER!I24*90%</f>
        <v>57972932.129640236</v>
      </c>
      <c r="J32" s="75"/>
      <c r="K32" s="75">
        <f>+ER!K24*90%</f>
        <v>72013490.10188058</v>
      </c>
    </row>
    <row r="33" spans="2:11" x14ac:dyDescent="0.25">
      <c r="B33" s="3"/>
      <c r="C33" s="88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89" t="s">
        <v>160</v>
      </c>
      <c r="C34" s="90">
        <f>+C27+C18</f>
        <v>123838578.29439998</v>
      </c>
      <c r="D34" s="89"/>
      <c r="E34" s="90">
        <f>+E27+E18</f>
        <v>170087976.62423998</v>
      </c>
      <c r="F34" s="89"/>
      <c r="G34" s="90">
        <f>+G27+G18</f>
        <v>242351581.35702294</v>
      </c>
      <c r="H34" s="89"/>
      <c r="I34" s="90">
        <f>+I27+I18</f>
        <v>295111730.39470226</v>
      </c>
      <c r="J34" s="89"/>
      <c r="K34" s="90">
        <f>+K27+K18</f>
        <v>372796800.74857575</v>
      </c>
    </row>
    <row r="35" spans="2:11" x14ac:dyDescent="0.25">
      <c r="D35" s="36"/>
      <c r="E35" s="36"/>
      <c r="F35" s="36"/>
      <c r="G35" s="36"/>
      <c r="H35" s="36"/>
      <c r="I35" s="36"/>
      <c r="J35" s="36"/>
      <c r="K35" s="36"/>
    </row>
    <row r="36" spans="2:11" x14ac:dyDescent="0.25">
      <c r="D36" s="36"/>
      <c r="E36" s="36"/>
      <c r="F36" s="36"/>
      <c r="G36" s="36"/>
      <c r="H36" s="36"/>
      <c r="I36" s="36"/>
      <c r="J36" s="36"/>
      <c r="K36" s="36"/>
    </row>
  </sheetData>
  <mergeCells count="4">
    <mergeCell ref="B1:K1"/>
    <mergeCell ref="B2:K2"/>
    <mergeCell ref="B3:K3"/>
    <mergeCell ref="B4:K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showGridLines="0" topLeftCell="A16" workbookViewId="0">
      <selection activeCell="E38" sqref="E38"/>
    </sheetView>
  </sheetViews>
  <sheetFormatPr baseColWidth="10" defaultRowHeight="15" x14ac:dyDescent="0.25"/>
  <cols>
    <col min="2" max="2" width="33.5703125" bestFit="1" customWidth="1"/>
    <col min="3" max="3" width="13" customWidth="1"/>
    <col min="4" max="4" width="4.28515625" customWidth="1"/>
    <col min="5" max="5" width="13" customWidth="1"/>
    <col min="6" max="6" width="3.140625" customWidth="1"/>
    <col min="7" max="7" width="12.85546875" customWidth="1"/>
    <col min="8" max="8" width="3.28515625" customWidth="1"/>
    <col min="9" max="9" width="13.140625" customWidth="1"/>
    <col min="10" max="10" width="3.140625" customWidth="1"/>
    <col min="11" max="11" width="12.28515625" customWidth="1"/>
    <col min="13" max="13" width="14.85546875" bestFit="1" customWidth="1"/>
  </cols>
  <sheetData>
    <row r="1" spans="2:11" x14ac:dyDescent="0.25">
      <c r="E1" s="72">
        <v>3.5000000000000003E-2</v>
      </c>
      <c r="G1" s="72">
        <v>3.1E-2</v>
      </c>
      <c r="I1" s="72">
        <v>3.4000000000000002E-2</v>
      </c>
      <c r="K1" s="72">
        <v>3.5000000000000003E-2</v>
      </c>
    </row>
    <row r="2" spans="2:11" x14ac:dyDescent="0.25">
      <c r="E2" s="72"/>
      <c r="G2" s="72"/>
      <c r="I2" s="72"/>
      <c r="K2" s="72"/>
    </row>
    <row r="3" spans="2:11" x14ac:dyDescent="0.25">
      <c r="E3" s="72"/>
      <c r="G3" s="72"/>
      <c r="I3" s="72"/>
      <c r="K3" s="72"/>
    </row>
    <row r="4" spans="2:11" ht="15.75" x14ac:dyDescent="0.25">
      <c r="B4" s="148" t="s">
        <v>171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1" ht="15.75" x14ac:dyDescent="0.25">
      <c r="B5" s="148" t="s">
        <v>146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1" ht="15.75" x14ac:dyDescent="0.25">
      <c r="B6" s="148" t="s">
        <v>147</v>
      </c>
      <c r="C6" s="148"/>
      <c r="D6" s="148"/>
      <c r="E6" s="148"/>
      <c r="F6" s="148"/>
      <c r="G6" s="148"/>
      <c r="H6" s="148"/>
      <c r="I6" s="148"/>
      <c r="J6" s="148"/>
      <c r="K6" s="148"/>
    </row>
    <row r="7" spans="2:11" ht="15.75" x14ac:dyDescent="0.25"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2:11" ht="15.75" x14ac:dyDescent="0.25">
      <c r="B8" s="78">
        <f>+C12/4020</f>
        <v>70140.682268656717</v>
      </c>
      <c r="C8" s="78"/>
      <c r="D8" s="78"/>
      <c r="E8" s="78"/>
      <c r="F8" s="78"/>
      <c r="G8" s="78"/>
      <c r="H8" s="78"/>
      <c r="I8" s="78"/>
      <c r="J8" s="78"/>
      <c r="K8" s="78"/>
    </row>
    <row r="9" spans="2:11" ht="15.75" x14ac:dyDescent="0.25">
      <c r="B9" s="77">
        <f>+C11/4020</f>
        <v>99500</v>
      </c>
      <c r="C9" s="78" t="s">
        <v>148</v>
      </c>
      <c r="D9" s="78"/>
      <c r="E9" s="78" t="s">
        <v>149</v>
      </c>
      <c r="F9" s="78"/>
      <c r="G9" s="78" t="s">
        <v>150</v>
      </c>
      <c r="H9" s="78"/>
      <c r="I9" s="78" t="s">
        <v>151</v>
      </c>
      <c r="J9" s="78"/>
      <c r="K9" s="78" t="s">
        <v>152</v>
      </c>
    </row>
    <row r="10" spans="2:11" ht="15.75" x14ac:dyDescent="0.25">
      <c r="B10" s="77"/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15.75" x14ac:dyDescent="0.25">
      <c r="B11" s="77" t="s">
        <v>111</v>
      </c>
      <c r="C11" s="80">
        <f>335*12*99500</f>
        <v>399990000</v>
      </c>
      <c r="D11" s="81"/>
      <c r="E11" s="81">
        <f>+'SECTOR INFLACION'!D11</f>
        <v>441726956.55000001</v>
      </c>
      <c r="F11" s="81"/>
      <c r="G11" s="81">
        <f>+'SECTOR INFLACION'!E11</f>
        <v>481834880.75082695</v>
      </c>
      <c r="H11" s="81"/>
      <c r="I11" s="81">
        <f>+'SECTOR INFLACION'!F11</f>
        <v>522131695.49778003</v>
      </c>
      <c r="J11" s="81"/>
      <c r="K11" s="81">
        <f>+'SECTOR INFLACION'!G11</f>
        <v>559860931.81444967</v>
      </c>
    </row>
    <row r="12" spans="2:11" ht="15.75" x14ac:dyDescent="0.25">
      <c r="B12" s="77" t="s">
        <v>112</v>
      </c>
      <c r="C12" s="80">
        <v>281965542.72000003</v>
      </c>
      <c r="D12" s="81"/>
      <c r="E12" s="81">
        <f>+C12+C12*E1</f>
        <v>291834336.71520001</v>
      </c>
      <c r="F12" s="81"/>
      <c r="G12" s="81">
        <f>+E12+E12*G1</f>
        <v>300881201.15337121</v>
      </c>
      <c r="H12" s="81"/>
      <c r="I12" s="81">
        <f>+G12+G12*I1</f>
        <v>311111161.99258584</v>
      </c>
      <c r="J12" s="81"/>
      <c r="K12" s="81">
        <f>+I12+K1*I12</f>
        <v>322000052.66232634</v>
      </c>
    </row>
    <row r="13" spans="2:11" ht="15.75" x14ac:dyDescent="0.25">
      <c r="B13" s="77"/>
      <c r="C13" s="80"/>
      <c r="D13" s="81"/>
      <c r="E13" s="81"/>
      <c r="F13" s="81"/>
      <c r="G13" s="81"/>
      <c r="H13" s="81"/>
      <c r="I13" s="81"/>
      <c r="J13" s="81"/>
      <c r="K13" s="81"/>
    </row>
    <row r="14" spans="2:11" s="32" customFormat="1" ht="15.75" x14ac:dyDescent="0.25">
      <c r="B14" s="79" t="s">
        <v>113</v>
      </c>
      <c r="C14" s="82">
        <f>+C11-C12</f>
        <v>118024457.27999997</v>
      </c>
      <c r="D14" s="83"/>
      <c r="E14" s="82">
        <f>+E11-E12</f>
        <v>149892619.8348</v>
      </c>
      <c r="F14" s="83"/>
      <c r="G14" s="82">
        <f>+G11-G12</f>
        <v>180953679.59745574</v>
      </c>
      <c r="H14" s="83"/>
      <c r="I14" s="82">
        <f>+I11-I12</f>
        <v>211020533.50519419</v>
      </c>
      <c r="J14" s="83"/>
      <c r="K14" s="82">
        <f>+K11-K12</f>
        <v>237860879.15212333</v>
      </c>
    </row>
    <row r="15" spans="2:11" s="32" customFormat="1" ht="15.75" x14ac:dyDescent="0.25">
      <c r="B15" s="79"/>
      <c r="C15" s="82"/>
      <c r="D15" s="83"/>
      <c r="E15" s="82"/>
      <c r="F15" s="83"/>
      <c r="G15" s="82"/>
      <c r="H15" s="83"/>
      <c r="I15" s="82"/>
      <c r="J15" s="83"/>
      <c r="K15" s="82"/>
    </row>
    <row r="16" spans="2:11" ht="15.75" x14ac:dyDescent="0.25">
      <c r="B16" s="77" t="s">
        <v>114</v>
      </c>
      <c r="C16" s="80">
        <v>65794400</v>
      </c>
      <c r="D16" s="81"/>
      <c r="E16" s="81">
        <f>+C16+C16*E1</f>
        <v>68097204</v>
      </c>
      <c r="F16" s="81"/>
      <c r="G16" s="81">
        <f>+E16+E16*G1</f>
        <v>70208217.324000001</v>
      </c>
      <c r="H16" s="81"/>
      <c r="I16" s="81">
        <f>+G16+G16*I1</f>
        <v>72595296.713016003</v>
      </c>
      <c r="J16" s="81"/>
      <c r="K16" s="81">
        <f>+I16+I16*K1</f>
        <v>75136132.097971559</v>
      </c>
    </row>
    <row r="17" spans="2:13" ht="15.75" x14ac:dyDescent="0.25">
      <c r="B17" s="77" t="s">
        <v>115</v>
      </c>
      <c r="C17" s="80">
        <v>30960000</v>
      </c>
      <c r="D17" s="81"/>
      <c r="E17" s="81">
        <f>+C17+C17*E1</f>
        <v>32043600</v>
      </c>
      <c r="F17" s="81"/>
      <c r="G17" s="81">
        <f>+E17+E17*G1</f>
        <v>33036951.600000001</v>
      </c>
      <c r="H17" s="81"/>
      <c r="I17" s="81">
        <f>+G17+G17*I1</f>
        <v>34160207.954400003</v>
      </c>
      <c r="J17" s="81"/>
      <c r="K17" s="81">
        <f>+I17+I17*K1</f>
        <v>35355815.232804</v>
      </c>
    </row>
    <row r="18" spans="2:13" ht="15.75" x14ac:dyDescent="0.25">
      <c r="B18" s="77" t="s">
        <v>158</v>
      </c>
      <c r="C18" s="80">
        <v>452300</v>
      </c>
      <c r="D18" s="81"/>
      <c r="E18" s="81">
        <f>+C18*105%</f>
        <v>474915</v>
      </c>
      <c r="F18" s="81"/>
      <c r="G18" s="81">
        <v>6350000</v>
      </c>
      <c r="H18" s="81"/>
      <c r="I18" s="81">
        <f>+G18*105%</f>
        <v>6667500</v>
      </c>
      <c r="J18" s="81"/>
      <c r="K18" s="81">
        <f>+I18*92%</f>
        <v>6134100</v>
      </c>
    </row>
    <row r="19" spans="2:13" ht="15.75" x14ac:dyDescent="0.25">
      <c r="B19" s="77"/>
      <c r="C19" s="80"/>
      <c r="D19" s="81"/>
      <c r="E19" s="81"/>
      <c r="F19" s="81"/>
      <c r="G19" s="81"/>
      <c r="H19" s="81"/>
      <c r="I19" s="81"/>
      <c r="J19" s="81"/>
      <c r="K19" s="81"/>
    </row>
    <row r="20" spans="2:13" s="32" customFormat="1" ht="15.75" x14ac:dyDescent="0.25">
      <c r="B20" s="79" t="s">
        <v>116</v>
      </c>
      <c r="C20" s="82">
        <f>+C14-C16-C17-C18</f>
        <v>20817757.279999971</v>
      </c>
      <c r="D20" s="83"/>
      <c r="E20" s="82">
        <f>+E14-E16-E17-E18</f>
        <v>49276900.834800005</v>
      </c>
      <c r="F20" s="83"/>
      <c r="G20" s="82">
        <f>+G14-G16-G17-G18</f>
        <v>71358510.673455745</v>
      </c>
      <c r="H20" s="83"/>
      <c r="I20" s="82">
        <f>+I14-I16-I17-I18</f>
        <v>97597528.837778181</v>
      </c>
      <c r="J20" s="83"/>
      <c r="K20" s="82">
        <f>+K14-K16-K17-K18</f>
        <v>121234831.82134777</v>
      </c>
    </row>
    <row r="21" spans="2:13" s="32" customFormat="1" ht="15.75" x14ac:dyDescent="0.25">
      <c r="B21" s="79"/>
      <c r="C21" s="82"/>
      <c r="D21" s="83"/>
      <c r="E21" s="82"/>
      <c r="F21" s="83"/>
      <c r="G21" s="82"/>
      <c r="H21" s="83"/>
      <c r="I21" s="82"/>
      <c r="J21" s="83"/>
      <c r="K21" s="82"/>
    </row>
    <row r="22" spans="2:13" ht="15.75" x14ac:dyDescent="0.25">
      <c r="B22" s="77" t="s">
        <v>76</v>
      </c>
      <c r="C22" s="80">
        <f>+C20*34%</f>
        <v>7078037.4751999909</v>
      </c>
      <c r="D22" s="81"/>
      <c r="E22" s="80">
        <f>+E20*34%</f>
        <v>16754146.283832002</v>
      </c>
      <c r="F22" s="81"/>
      <c r="G22" s="80">
        <f>+G20*34%</f>
        <v>24261893.628974956</v>
      </c>
      <c r="H22" s="81"/>
      <c r="I22" s="80">
        <f>+I20*34%</f>
        <v>33183159.804844584</v>
      </c>
      <c r="J22" s="81"/>
      <c r="K22" s="80">
        <f>+K20*34%</f>
        <v>41219842.819258243</v>
      </c>
    </row>
    <row r="23" spans="2:13" ht="15.75" x14ac:dyDescent="0.25">
      <c r="B23" s="77"/>
      <c r="C23" s="80"/>
      <c r="D23" s="81"/>
      <c r="E23" s="80"/>
      <c r="F23" s="81"/>
      <c r="G23" s="80"/>
      <c r="H23" s="81"/>
      <c r="I23" s="80"/>
      <c r="J23" s="81"/>
      <c r="K23" s="80"/>
    </row>
    <row r="24" spans="2:13" s="32" customFormat="1" ht="15.75" x14ac:dyDescent="0.25">
      <c r="B24" s="84" t="s">
        <v>82</v>
      </c>
      <c r="C24" s="85">
        <f>+C20-C22</f>
        <v>13739719.804799981</v>
      </c>
      <c r="D24" s="86"/>
      <c r="E24" s="85">
        <f>+E20-E22</f>
        <v>32522754.550968003</v>
      </c>
      <c r="F24" s="86"/>
      <c r="G24" s="85">
        <f>+G20-G22</f>
        <v>47096617.044480786</v>
      </c>
      <c r="H24" s="86"/>
      <c r="I24" s="85">
        <f>+I20-I22</f>
        <v>64414369.032933593</v>
      </c>
      <c r="J24" s="86"/>
      <c r="K24" s="85">
        <f>+K20-K22</f>
        <v>80014989.00208953</v>
      </c>
    </row>
    <row r="25" spans="2:13" x14ac:dyDescent="0.25">
      <c r="C25" s="31"/>
    </row>
    <row r="26" spans="2:13" x14ac:dyDescent="0.25">
      <c r="C26" s="31"/>
    </row>
    <row r="27" spans="2:13" x14ac:dyDescent="0.25">
      <c r="M27" s="36"/>
    </row>
    <row r="28" spans="2:13" x14ac:dyDescent="0.25">
      <c r="M28" s="34"/>
    </row>
    <row r="29" spans="2:13" x14ac:dyDescent="0.25">
      <c r="M29" s="34"/>
    </row>
    <row r="30" spans="2:13" x14ac:dyDescent="0.25">
      <c r="M30" s="34"/>
    </row>
    <row r="31" spans="2:13" x14ac:dyDescent="0.25">
      <c r="M31" s="34"/>
    </row>
    <row r="32" spans="2:13" x14ac:dyDescent="0.25">
      <c r="M32" s="34"/>
    </row>
    <row r="33" spans="13:13" x14ac:dyDescent="0.25">
      <c r="M33" s="38"/>
    </row>
  </sheetData>
  <mergeCells count="3">
    <mergeCell ref="B4:K4"/>
    <mergeCell ref="B5:K5"/>
    <mergeCell ref="B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opLeftCell="A16" workbookViewId="0">
      <selection activeCell="G5" sqref="G5"/>
    </sheetView>
  </sheetViews>
  <sheetFormatPr baseColWidth="10" defaultRowHeight="15" x14ac:dyDescent="0.25"/>
  <cols>
    <col min="1" max="1" width="32.28515625" style="32" bestFit="1" customWidth="1"/>
    <col min="2" max="2" width="3.85546875" customWidth="1"/>
    <col min="3" max="3" width="13.5703125" customWidth="1"/>
    <col min="4" max="4" width="3.28515625" customWidth="1"/>
    <col min="5" max="5" width="12.140625" customWidth="1"/>
    <col min="6" max="6" width="3.28515625" customWidth="1"/>
    <col min="7" max="7" width="12.7109375" customWidth="1"/>
    <col min="8" max="8" width="3.28515625" customWidth="1"/>
    <col min="9" max="9" width="12.7109375" customWidth="1"/>
    <col min="10" max="10" width="3.28515625" customWidth="1"/>
    <col min="11" max="11" width="12.85546875" customWidth="1"/>
  </cols>
  <sheetData>
    <row r="1" spans="1:11" x14ac:dyDescent="0.25">
      <c r="A1" s="146" t="s">
        <v>169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A2" s="146" t="s">
        <v>146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A3" s="146" t="s">
        <v>147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5">
      <c r="A6" s="76"/>
      <c r="B6" s="76"/>
      <c r="C6" s="74" t="s">
        <v>148</v>
      </c>
      <c r="D6" s="74"/>
      <c r="E6" s="74" t="s">
        <v>149</v>
      </c>
      <c r="F6" s="74"/>
      <c r="G6" s="74" t="s">
        <v>150</v>
      </c>
      <c r="H6" s="74"/>
      <c r="I6" s="74" t="s">
        <v>151</v>
      </c>
      <c r="J6" s="74"/>
      <c r="K6" s="74" t="s">
        <v>152</v>
      </c>
    </row>
    <row r="7" spans="1:11" x14ac:dyDescent="0.25">
      <c r="A7" s="76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89" t="s">
        <v>164</v>
      </c>
      <c r="B8" s="95"/>
      <c r="C8" s="96">
        <v>70000000</v>
      </c>
      <c r="D8" s="89"/>
      <c r="E8" s="90">
        <f>+C26</f>
        <v>20694096.279999971</v>
      </c>
      <c r="F8" s="89"/>
      <c r="G8" s="90">
        <f>+E26</f>
        <v>28184977.629459262</v>
      </c>
      <c r="H8" s="89"/>
      <c r="I8" s="90">
        <f>+G26</f>
        <v>52277466.266999662</v>
      </c>
      <c r="J8" s="89"/>
      <c r="K8" s="90">
        <f>+I26</f>
        <v>66392381.897618115</v>
      </c>
    </row>
    <row r="9" spans="1:11" x14ac:dyDescent="0.25">
      <c r="A9" s="89"/>
      <c r="B9" s="95"/>
      <c r="C9" s="96"/>
      <c r="D9" s="89"/>
      <c r="E9" s="90"/>
      <c r="F9" s="89"/>
      <c r="G9" s="90"/>
      <c r="H9" s="89"/>
      <c r="I9" s="90"/>
      <c r="J9" s="89"/>
      <c r="K9" s="90"/>
    </row>
    <row r="10" spans="1:11" x14ac:dyDescent="0.25">
      <c r="A10" s="89" t="s">
        <v>111</v>
      </c>
      <c r="B10" s="95"/>
      <c r="C10" s="90">
        <f>+SUM(C11:C14)</f>
        <v>352230000</v>
      </c>
      <c r="D10" s="89"/>
      <c r="E10" s="90">
        <f>+SUM(E11:E14)</f>
        <v>383459756.55000001</v>
      </c>
      <c r="F10" s="89"/>
      <c r="G10" s="90">
        <f>+SUM(G11:G14)</f>
        <v>438244928.75082695</v>
      </c>
      <c r="H10" s="89"/>
      <c r="I10" s="90">
        <f>+SUM(I11:I14)</f>
        <v>447734306.05778003</v>
      </c>
      <c r="J10" s="89"/>
      <c r="K10" s="90">
        <f>+SUM(K11:K14)</f>
        <v>475791881.74724966</v>
      </c>
    </row>
    <row r="11" spans="1:11" x14ac:dyDescent="0.25">
      <c r="A11" s="76" t="s">
        <v>103</v>
      </c>
      <c r="B11" s="3"/>
      <c r="C11" s="88">
        <f>+ER!C11</f>
        <v>399990000</v>
      </c>
      <c r="D11" s="3"/>
      <c r="E11" s="88">
        <f>+ER!E11</f>
        <v>441726956.55000001</v>
      </c>
      <c r="F11" s="88"/>
      <c r="G11" s="88">
        <f>+ER!G11</f>
        <v>481834880.75082695</v>
      </c>
      <c r="H11" s="88"/>
      <c r="I11" s="88">
        <f>+ER!I11</f>
        <v>522131695.49778003</v>
      </c>
      <c r="J11" s="88"/>
      <c r="K11" s="88">
        <f>+ER!K11</f>
        <v>559860931.81444967</v>
      </c>
    </row>
    <row r="12" spans="1:11" x14ac:dyDescent="0.25">
      <c r="A12" s="76" t="s">
        <v>167</v>
      </c>
      <c r="B12" s="3"/>
      <c r="C12" s="88"/>
      <c r="D12" s="3"/>
      <c r="E12" s="3"/>
      <c r="F12" s="3"/>
      <c r="G12" s="75">
        <v>24000000</v>
      </c>
      <c r="H12" s="3"/>
      <c r="I12" s="3"/>
      <c r="J12" s="3"/>
      <c r="K12" s="3"/>
    </row>
    <row r="13" spans="1:11" x14ac:dyDescent="0.25">
      <c r="A13" s="76" t="s">
        <v>59</v>
      </c>
      <c r="B13" s="3"/>
      <c r="C13" s="88">
        <f>-ESF!C11</f>
        <v>-47760000</v>
      </c>
      <c r="D13" s="3"/>
      <c r="E13" s="88">
        <f>-ESF!E11</f>
        <v>-58267200</v>
      </c>
      <c r="F13" s="3"/>
      <c r="G13" s="88">
        <f>-ESF!G11</f>
        <v>-67589952</v>
      </c>
      <c r="H13" s="3"/>
      <c r="I13" s="88">
        <f>-ESF!I11</f>
        <v>-74397389.439999998</v>
      </c>
      <c r="J13" s="3"/>
      <c r="K13" s="88">
        <f>-ESF!K11</f>
        <v>-84069050.06719999</v>
      </c>
    </row>
    <row r="14" spans="1:11" x14ac:dyDescent="0.25">
      <c r="A14" s="76"/>
      <c r="B14" s="3"/>
      <c r="C14" s="88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76"/>
      <c r="B15" s="3"/>
      <c r="C15" s="88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89" t="s">
        <v>166</v>
      </c>
      <c r="B16" s="95"/>
      <c r="C16" s="90">
        <f>+SUM(C17:C25)</f>
        <v>401535903.72000003</v>
      </c>
      <c r="D16" s="89"/>
      <c r="E16" s="90">
        <f>+SUM(E17:E25)</f>
        <v>434236075.20054072</v>
      </c>
      <c r="F16" s="89"/>
      <c r="G16" s="90">
        <f>+SUM(G17:G25)</f>
        <v>457742392.11328655</v>
      </c>
      <c r="H16" s="89"/>
      <c r="I16" s="90">
        <f>+SUM(I17:I25)</f>
        <v>508016779.86716157</v>
      </c>
      <c r="J16" s="89"/>
      <c r="K16" s="90">
        <f>+SUM(K17:K25)</f>
        <v>550573162.1394099</v>
      </c>
    </row>
    <row r="17" spans="1:13" x14ac:dyDescent="0.25">
      <c r="A17" s="76" t="s">
        <v>114</v>
      </c>
      <c r="B17" s="3"/>
      <c r="C17" s="88">
        <f>+ER!C16</f>
        <v>65794400</v>
      </c>
      <c r="D17" s="3"/>
      <c r="E17" s="88">
        <f>+ER!E16</f>
        <v>68097204</v>
      </c>
      <c r="F17" s="3"/>
      <c r="G17" s="88">
        <f>+ER!G16</f>
        <v>70208217.324000001</v>
      </c>
      <c r="H17" s="3"/>
      <c r="I17" s="88">
        <f>+ER!I16</f>
        <v>72595296.713016003</v>
      </c>
      <c r="J17" s="3"/>
      <c r="K17" s="88">
        <f>+ER!K16</f>
        <v>75136132.097971559</v>
      </c>
    </row>
    <row r="18" spans="1:13" x14ac:dyDescent="0.25">
      <c r="A18" s="76" t="s">
        <v>115</v>
      </c>
      <c r="B18" s="3"/>
      <c r="C18" s="88">
        <f>+ER!C17</f>
        <v>30960000</v>
      </c>
      <c r="D18" s="3"/>
      <c r="E18" s="88">
        <f>+ER!E17</f>
        <v>32043600</v>
      </c>
      <c r="F18" s="3"/>
      <c r="G18" s="88">
        <f>+ER!G17</f>
        <v>33036951.600000001</v>
      </c>
      <c r="H18" s="3"/>
      <c r="I18" s="88">
        <f>+ER!I17</f>
        <v>34160207.954400003</v>
      </c>
      <c r="J18" s="3"/>
      <c r="K18" s="88">
        <f>+ER!K17</f>
        <v>35355815.232804</v>
      </c>
    </row>
    <row r="19" spans="1:13" x14ac:dyDescent="0.25">
      <c r="A19" s="76" t="s">
        <v>158</v>
      </c>
      <c r="B19" s="3"/>
      <c r="C19" s="88">
        <f>+ER!C18</f>
        <v>452300</v>
      </c>
      <c r="D19" s="3"/>
      <c r="E19" s="88">
        <f>+ER!E18</f>
        <v>474915</v>
      </c>
      <c r="F19" s="3"/>
      <c r="G19" s="88">
        <f>+ER!G18</f>
        <v>6350000</v>
      </c>
      <c r="H19" s="3"/>
      <c r="I19" s="88">
        <f>+ER!I18</f>
        <v>6667500</v>
      </c>
      <c r="J19" s="3"/>
      <c r="K19" s="88">
        <f>+ER!K18</f>
        <v>6134100</v>
      </c>
    </row>
    <row r="20" spans="1:13" x14ac:dyDescent="0.25">
      <c r="A20" s="76" t="s">
        <v>168</v>
      </c>
      <c r="B20" s="3"/>
      <c r="C20" s="88">
        <f>+ER!C12</f>
        <v>281965542.72000003</v>
      </c>
      <c r="D20" s="88"/>
      <c r="E20" s="88">
        <f>+ER!E12</f>
        <v>291834336.71520001</v>
      </c>
      <c r="F20" s="88"/>
      <c r="G20" s="88">
        <f>+ER!G12</f>
        <v>300881201.15337121</v>
      </c>
      <c r="H20" s="88"/>
      <c r="I20" s="88">
        <f>+ER!I12</f>
        <v>311111161.99258584</v>
      </c>
      <c r="J20" s="88"/>
      <c r="K20" s="88">
        <f>+ER!K12</f>
        <v>322000052.66232634</v>
      </c>
    </row>
    <row r="21" spans="1:13" x14ac:dyDescent="0.25">
      <c r="A21" s="76" t="s">
        <v>74</v>
      </c>
      <c r="B21" s="3"/>
      <c r="C21" s="88">
        <f>-ESF!C21</f>
        <v>-23707500</v>
      </c>
      <c r="D21" s="88"/>
      <c r="E21" s="88">
        <f>-ESF!E21</f>
        <v>-27250312</v>
      </c>
      <c r="F21" s="88"/>
      <c r="G21" s="88">
        <f>-ESF!G21</f>
        <v>-29257077</v>
      </c>
      <c r="H21" s="88"/>
      <c r="I21" s="88">
        <f>-ESF!I21</f>
        <v>-31715474</v>
      </c>
      <c r="J21" s="88"/>
      <c r="K21" s="88">
        <f>-ESF!K21</f>
        <v>-47551200</v>
      </c>
      <c r="M21" s="88"/>
    </row>
    <row r="22" spans="1:13" x14ac:dyDescent="0.25">
      <c r="A22" s="76" t="s">
        <v>60</v>
      </c>
      <c r="B22" s="3"/>
      <c r="C22" s="88">
        <v>22922000</v>
      </c>
      <c r="D22" s="88"/>
      <c r="E22" s="75">
        <v>24940700</v>
      </c>
      <c r="F22" s="75"/>
      <c r="G22" s="75">
        <v>30811433.333333328</v>
      </c>
      <c r="H22" s="75"/>
      <c r="I22" s="75">
        <v>52810855.666666657</v>
      </c>
      <c r="J22" s="75"/>
      <c r="K22" s="75">
        <v>76231675.75</v>
      </c>
    </row>
    <row r="23" spans="1:13" x14ac:dyDescent="0.25">
      <c r="A23" s="76" t="s">
        <v>61</v>
      </c>
      <c r="B23" s="3"/>
      <c r="C23" s="97">
        <f>+'NECESIDADES DE INVERSION'!F36</f>
        <v>15805000</v>
      </c>
      <c r="D23" s="3"/>
      <c r="E23" s="75">
        <v>31663812.5</v>
      </c>
      <c r="F23" s="75"/>
      <c r="G23" s="75">
        <f>+E23*110.07%</f>
        <v>34852358.418750003</v>
      </c>
      <c r="H23" s="75"/>
      <c r="I23" s="75">
        <f>+G23*110.07%</f>
        <v>38361990.911518127</v>
      </c>
      <c r="J23" s="75"/>
      <c r="K23" s="75">
        <v>53088417.396308005</v>
      </c>
    </row>
    <row r="24" spans="1:13" x14ac:dyDescent="0.25">
      <c r="A24" s="76" t="s">
        <v>76</v>
      </c>
      <c r="B24" s="3"/>
      <c r="C24" s="88">
        <v>7344161</v>
      </c>
      <c r="D24" s="3"/>
      <c r="E24" s="88">
        <f>+C24*169.27487%</f>
        <v>12431818.9853407</v>
      </c>
      <c r="F24" s="88"/>
      <c r="G24" s="88">
        <v>10859307.283832002</v>
      </c>
      <c r="H24" s="88"/>
      <c r="I24" s="88">
        <v>24025240.628974956</v>
      </c>
      <c r="J24" s="88"/>
      <c r="K24" s="88">
        <v>30178169</v>
      </c>
    </row>
    <row r="25" spans="1:13" x14ac:dyDescent="0.25">
      <c r="A25" s="76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s="94" customFormat="1" x14ac:dyDescent="0.25">
      <c r="A26" s="89" t="s">
        <v>165</v>
      </c>
      <c r="B26" s="95"/>
      <c r="C26" s="90">
        <f>+C8+C10-C16</f>
        <v>20694096.279999971</v>
      </c>
      <c r="D26" s="89"/>
      <c r="E26" s="90">
        <f>+E8+E11-E16</f>
        <v>28184977.629459262</v>
      </c>
      <c r="F26" s="89"/>
      <c r="G26" s="90">
        <f>+G8+G11-G16</f>
        <v>52277466.266999662</v>
      </c>
      <c r="H26" s="89"/>
      <c r="I26" s="90">
        <f>+I8+I11-I16</f>
        <v>66392381.897618115</v>
      </c>
      <c r="J26" s="89"/>
      <c r="K26" s="90">
        <f>+K8+K11-K16</f>
        <v>75680151.572657943</v>
      </c>
    </row>
    <row r="27" spans="1:13" x14ac:dyDescent="0.25">
      <c r="C27" s="36">
        <f>+ESF!C10</f>
        <v>20694096</v>
      </c>
      <c r="D27" s="36"/>
      <c r="E27" s="36">
        <f>+ESF!E10</f>
        <v>28184977</v>
      </c>
      <c r="F27" s="36"/>
      <c r="G27" s="36">
        <f>+ESF!G10</f>
        <v>52277465.5</v>
      </c>
      <c r="H27" s="36"/>
      <c r="I27" s="36">
        <f>+ESF!I10</f>
        <v>66392381.185000002</v>
      </c>
      <c r="J27" s="36"/>
      <c r="K27" s="36">
        <f>+ESF!K10</f>
        <v>75680151.401200011</v>
      </c>
    </row>
    <row r="28" spans="1:13" x14ac:dyDescent="0.25">
      <c r="C28" s="36"/>
      <c r="D28" s="36"/>
      <c r="E28" s="36"/>
      <c r="F28" s="36"/>
      <c r="G28" s="36"/>
      <c r="H28" s="36"/>
      <c r="I28" s="36"/>
      <c r="J28" s="36"/>
      <c r="K28" s="36"/>
    </row>
  </sheetData>
  <mergeCells count="3">
    <mergeCell ref="A1:K1"/>
    <mergeCell ref="A2:K2"/>
    <mergeCell ref="A3:K3"/>
  </mergeCells>
  <phoneticPr fontId="1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opLeftCell="B1" workbookViewId="0">
      <selection activeCell="G13" sqref="G13"/>
    </sheetView>
  </sheetViews>
  <sheetFormatPr baseColWidth="10" defaultRowHeight="15" x14ac:dyDescent="0.25"/>
  <cols>
    <col min="3" max="3" width="12.140625" bestFit="1" customWidth="1"/>
    <col min="5" max="5" width="10.85546875" style="107" customWidth="1"/>
    <col min="6" max="6" width="10.85546875" customWidth="1"/>
    <col min="7" max="7" width="7.7109375" customWidth="1"/>
    <col min="8" max="12" width="10.85546875" customWidth="1"/>
    <col min="13" max="13" width="12.5703125" customWidth="1"/>
    <col min="14" max="14" width="10.85546875" customWidth="1"/>
    <col min="15" max="15" width="12.42578125" customWidth="1"/>
  </cols>
  <sheetData>
    <row r="1" spans="2:15" x14ac:dyDescent="0.25">
      <c r="B1" s="149" t="s">
        <v>197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3" spans="2:15" x14ac:dyDescent="0.25">
      <c r="B3" t="s">
        <v>184</v>
      </c>
    </row>
    <row r="4" spans="2:15" x14ac:dyDescent="0.25">
      <c r="B4" t="s">
        <v>148</v>
      </c>
      <c r="C4" s="31">
        <v>399990000</v>
      </c>
      <c r="D4" s="108" t="s">
        <v>186</v>
      </c>
      <c r="E4" s="109">
        <v>0.1</v>
      </c>
      <c r="F4" s="36">
        <f>+$C$4*E4</f>
        <v>39999000</v>
      </c>
      <c r="G4" s="36"/>
      <c r="H4" s="36">
        <v>4020</v>
      </c>
      <c r="I4" s="36">
        <f t="shared" ref="I4:I15" si="0">+E4*$H$4</f>
        <v>402</v>
      </c>
      <c r="J4" s="36">
        <f>+I4</f>
        <v>402</v>
      </c>
      <c r="K4" s="36"/>
      <c r="L4" s="36">
        <v>70000000</v>
      </c>
      <c r="M4" s="31">
        <v>17245080.233333312</v>
      </c>
      <c r="N4" s="34">
        <f>+E4*$M$4</f>
        <v>1724508.0233333313</v>
      </c>
      <c r="O4" s="34">
        <f>+N4</f>
        <v>1724508.0233333313</v>
      </c>
    </row>
    <row r="5" spans="2:15" x14ac:dyDescent="0.25">
      <c r="C5" s="31"/>
      <c r="D5" s="108" t="s">
        <v>188</v>
      </c>
      <c r="E5" s="109">
        <v>0.05</v>
      </c>
      <c r="F5" s="36">
        <f t="shared" ref="F5:F15" si="1">+$C$4*E5</f>
        <v>19999500</v>
      </c>
      <c r="G5" s="36"/>
      <c r="I5" s="36">
        <f t="shared" si="0"/>
        <v>201</v>
      </c>
      <c r="J5" s="36">
        <f>+J4+I5</f>
        <v>603</v>
      </c>
      <c r="N5" s="34">
        <f t="shared" ref="N5:N15" si="2">+E5*$M$4</f>
        <v>862254.01166666567</v>
      </c>
      <c r="O5" s="34">
        <f>+O4+N5</f>
        <v>2586762.0349999969</v>
      </c>
    </row>
    <row r="6" spans="2:15" x14ac:dyDescent="0.25">
      <c r="C6" s="31"/>
      <c r="D6" s="36" t="s">
        <v>188</v>
      </c>
      <c r="E6" s="109">
        <v>0.06</v>
      </c>
      <c r="F6" s="36">
        <f t="shared" si="1"/>
        <v>23999400</v>
      </c>
      <c r="G6" s="36"/>
      <c r="I6" s="36">
        <f t="shared" si="0"/>
        <v>241.2</v>
      </c>
      <c r="J6" s="36">
        <f t="shared" ref="J6:J63" si="3">+J5+I6</f>
        <v>844.2</v>
      </c>
      <c r="N6" s="34">
        <f t="shared" si="2"/>
        <v>1034704.8139999987</v>
      </c>
      <c r="O6" s="34">
        <f t="shared" ref="O6:O63" si="4">+O5+N6</f>
        <v>3621466.8489999957</v>
      </c>
    </row>
    <row r="7" spans="2:15" x14ac:dyDescent="0.25">
      <c r="C7" s="31"/>
      <c r="D7" s="36" t="s">
        <v>189</v>
      </c>
      <c r="E7" s="109">
        <v>0.06</v>
      </c>
      <c r="F7" s="36">
        <f t="shared" si="1"/>
        <v>23999400</v>
      </c>
      <c r="G7" s="36"/>
      <c r="I7" s="36">
        <f t="shared" si="0"/>
        <v>241.2</v>
      </c>
      <c r="J7" s="36">
        <f t="shared" si="3"/>
        <v>1085.4000000000001</v>
      </c>
      <c r="N7" s="34">
        <f t="shared" si="2"/>
        <v>1034704.8139999987</v>
      </c>
      <c r="O7" s="34">
        <f t="shared" si="4"/>
        <v>4656171.6629999941</v>
      </c>
    </row>
    <row r="8" spans="2:15" x14ac:dyDescent="0.25">
      <c r="C8" s="31"/>
      <c r="D8" s="36" t="s">
        <v>190</v>
      </c>
      <c r="E8" s="109">
        <v>0.06</v>
      </c>
      <c r="F8" s="36">
        <f t="shared" si="1"/>
        <v>23999400</v>
      </c>
      <c r="G8" s="36"/>
      <c r="I8" s="36">
        <f t="shared" si="0"/>
        <v>241.2</v>
      </c>
      <c r="J8" s="36">
        <f t="shared" si="3"/>
        <v>1326.6000000000001</v>
      </c>
      <c r="N8" s="34">
        <f t="shared" si="2"/>
        <v>1034704.8139999987</v>
      </c>
      <c r="O8" s="34">
        <f t="shared" si="4"/>
        <v>5690876.4769999925</v>
      </c>
    </row>
    <row r="9" spans="2:15" x14ac:dyDescent="0.25">
      <c r="C9" s="31"/>
      <c r="D9" s="36" t="s">
        <v>191</v>
      </c>
      <c r="E9" s="109">
        <v>0.13</v>
      </c>
      <c r="F9" s="36">
        <f t="shared" si="1"/>
        <v>51998700</v>
      </c>
      <c r="G9" s="36"/>
      <c r="I9" s="36">
        <f t="shared" si="0"/>
        <v>522.6</v>
      </c>
      <c r="J9" s="36">
        <f t="shared" si="3"/>
        <v>1849.2000000000003</v>
      </c>
      <c r="N9" s="34">
        <f t="shared" si="2"/>
        <v>2241860.4303333308</v>
      </c>
      <c r="O9" s="34">
        <f t="shared" si="4"/>
        <v>7932736.9073333237</v>
      </c>
    </row>
    <row r="10" spans="2:15" x14ac:dyDescent="0.25">
      <c r="C10" s="31"/>
      <c r="D10" s="36" t="s">
        <v>192</v>
      </c>
      <c r="E10" s="109">
        <v>0.11</v>
      </c>
      <c r="F10" s="36">
        <f t="shared" si="1"/>
        <v>43998900</v>
      </c>
      <c r="G10" s="36"/>
      <c r="I10" s="36">
        <f t="shared" si="0"/>
        <v>442.2</v>
      </c>
      <c r="J10" s="36">
        <f t="shared" si="3"/>
        <v>2291.4</v>
      </c>
      <c r="N10" s="34">
        <f t="shared" si="2"/>
        <v>1896958.8256666644</v>
      </c>
      <c r="O10" s="34">
        <f t="shared" si="4"/>
        <v>9829695.7329999879</v>
      </c>
    </row>
    <row r="11" spans="2:15" x14ac:dyDescent="0.25">
      <c r="C11" s="31"/>
      <c r="D11" s="36" t="s">
        <v>29</v>
      </c>
      <c r="E11" s="109">
        <v>7.0000000000000007E-2</v>
      </c>
      <c r="F11" s="36">
        <f t="shared" si="1"/>
        <v>27999300.000000004</v>
      </c>
      <c r="G11" s="36"/>
      <c r="I11" s="36">
        <f t="shared" si="0"/>
        <v>281.40000000000003</v>
      </c>
      <c r="J11" s="36">
        <f t="shared" si="3"/>
        <v>2572.8000000000002</v>
      </c>
      <c r="N11" s="34">
        <f t="shared" si="2"/>
        <v>1207155.6163333319</v>
      </c>
      <c r="O11" s="34">
        <f t="shared" si="4"/>
        <v>11036851.34933332</v>
      </c>
    </row>
    <row r="12" spans="2:15" x14ac:dyDescent="0.25">
      <c r="C12" s="31"/>
      <c r="D12" s="36" t="s">
        <v>30</v>
      </c>
      <c r="E12" s="109">
        <v>0.04</v>
      </c>
      <c r="F12" s="36">
        <f t="shared" si="1"/>
        <v>15999600</v>
      </c>
      <c r="G12" s="36"/>
      <c r="I12" s="36">
        <f t="shared" si="0"/>
        <v>160.80000000000001</v>
      </c>
      <c r="J12" s="36">
        <f t="shared" si="3"/>
        <v>2733.6000000000004</v>
      </c>
      <c r="N12" s="34">
        <f t="shared" si="2"/>
        <v>689803.20933333249</v>
      </c>
      <c r="O12" s="34">
        <f t="shared" si="4"/>
        <v>11726654.558666652</v>
      </c>
    </row>
    <row r="13" spans="2:15" x14ac:dyDescent="0.25">
      <c r="C13" s="31"/>
      <c r="D13" s="36" t="s">
        <v>193</v>
      </c>
      <c r="E13" s="109">
        <v>0.06</v>
      </c>
      <c r="F13" s="36">
        <f t="shared" si="1"/>
        <v>23999400</v>
      </c>
      <c r="G13" s="36"/>
      <c r="I13" s="36">
        <f t="shared" si="0"/>
        <v>241.2</v>
      </c>
      <c r="J13" s="36">
        <f t="shared" si="3"/>
        <v>2974.8</v>
      </c>
      <c r="N13" s="34">
        <f t="shared" si="2"/>
        <v>1034704.8139999987</v>
      </c>
      <c r="O13" s="34">
        <f t="shared" si="4"/>
        <v>12761359.372666651</v>
      </c>
    </row>
    <row r="14" spans="2:15" x14ac:dyDescent="0.25">
      <c r="C14" s="31"/>
      <c r="D14" s="36" t="s">
        <v>194</v>
      </c>
      <c r="E14" s="109">
        <v>0.09</v>
      </c>
      <c r="F14" s="36">
        <f t="shared" si="1"/>
        <v>35999100</v>
      </c>
      <c r="G14" s="36"/>
      <c r="I14" s="36">
        <f t="shared" si="0"/>
        <v>361.8</v>
      </c>
      <c r="J14" s="36">
        <f t="shared" si="3"/>
        <v>3336.6000000000004</v>
      </c>
      <c r="N14" s="34">
        <f t="shared" si="2"/>
        <v>1552057.220999998</v>
      </c>
      <c r="O14" s="34">
        <f t="shared" si="4"/>
        <v>14313416.59366665</v>
      </c>
    </row>
    <row r="15" spans="2:15" x14ac:dyDescent="0.25">
      <c r="C15" s="31"/>
      <c r="D15" s="36" t="s">
        <v>195</v>
      </c>
      <c r="E15" s="109">
        <v>0.17</v>
      </c>
      <c r="F15" s="36">
        <f t="shared" si="1"/>
        <v>67998300</v>
      </c>
      <c r="G15" s="36"/>
      <c r="I15" s="36">
        <f t="shared" si="0"/>
        <v>683.40000000000009</v>
      </c>
      <c r="J15" s="36">
        <f t="shared" si="3"/>
        <v>4020.0000000000005</v>
      </c>
      <c r="N15" s="34">
        <f t="shared" si="2"/>
        <v>2931663.639666663</v>
      </c>
      <c r="O15" s="34">
        <f t="shared" si="4"/>
        <v>17245080.233333312</v>
      </c>
    </row>
    <row r="16" spans="2:15" x14ac:dyDescent="0.25">
      <c r="B16" t="s">
        <v>185</v>
      </c>
      <c r="C16" s="31">
        <v>441726956.55000001</v>
      </c>
      <c r="D16" s="36" t="s">
        <v>186</v>
      </c>
      <c r="E16" s="109">
        <v>0.1</v>
      </c>
      <c r="F16" s="36">
        <f>+$C$16*E16</f>
        <v>44172695.655000001</v>
      </c>
      <c r="G16" s="36"/>
      <c r="H16">
        <v>4289</v>
      </c>
      <c r="I16" s="36">
        <f>+$H$16*E16</f>
        <v>428.90000000000003</v>
      </c>
      <c r="J16" s="36">
        <f t="shared" si="3"/>
        <v>4448.9000000000005</v>
      </c>
      <c r="M16" s="31">
        <v>19572900.791388877</v>
      </c>
      <c r="N16" s="34">
        <f>+$M$16*E16</f>
        <v>1957290.0791388878</v>
      </c>
      <c r="O16" s="34">
        <f t="shared" si="4"/>
        <v>19202370.312472198</v>
      </c>
    </row>
    <row r="17" spans="2:15" x14ac:dyDescent="0.25">
      <c r="D17" s="36" t="s">
        <v>187</v>
      </c>
      <c r="E17" s="109">
        <v>0.05</v>
      </c>
      <c r="F17" s="36">
        <f t="shared" ref="F17:F27" si="5">+$C$16*E17</f>
        <v>22086347.827500001</v>
      </c>
      <c r="G17" s="36"/>
      <c r="I17" s="36">
        <f t="shared" ref="I17:I27" si="6">+$H$16*E17</f>
        <v>214.45000000000002</v>
      </c>
      <c r="J17" s="36">
        <f t="shared" si="3"/>
        <v>4663.3500000000004</v>
      </c>
      <c r="N17" s="34">
        <f t="shared" ref="N17:N27" si="7">+$M$16*E17</f>
        <v>978645.03956944391</v>
      </c>
      <c r="O17" s="34">
        <f t="shared" si="4"/>
        <v>20181015.352041643</v>
      </c>
    </row>
    <row r="18" spans="2:15" x14ac:dyDescent="0.25">
      <c r="D18" s="36" t="s">
        <v>188</v>
      </c>
      <c r="E18" s="109">
        <v>0.06</v>
      </c>
      <c r="F18" s="36">
        <f t="shared" si="5"/>
        <v>26503617.392999999</v>
      </c>
      <c r="G18" s="36"/>
      <c r="I18" s="36">
        <f t="shared" si="6"/>
        <v>257.33999999999997</v>
      </c>
      <c r="J18" s="36">
        <f t="shared" si="3"/>
        <v>4920.6900000000005</v>
      </c>
      <c r="N18" s="34">
        <f t="shared" si="7"/>
        <v>1174374.0474833325</v>
      </c>
      <c r="O18" s="34">
        <f t="shared" si="4"/>
        <v>21355389.399524976</v>
      </c>
    </row>
    <row r="19" spans="2:15" x14ac:dyDescent="0.25">
      <c r="D19" s="36" t="s">
        <v>189</v>
      </c>
      <c r="E19" s="109">
        <v>0.06</v>
      </c>
      <c r="F19" s="36">
        <f t="shared" si="5"/>
        <v>26503617.392999999</v>
      </c>
      <c r="G19" s="36"/>
      <c r="I19" s="36">
        <f t="shared" si="6"/>
        <v>257.33999999999997</v>
      </c>
      <c r="J19" s="36">
        <f t="shared" si="3"/>
        <v>5178.0300000000007</v>
      </c>
      <c r="N19" s="34">
        <f t="shared" si="7"/>
        <v>1174374.0474833325</v>
      </c>
      <c r="O19" s="34">
        <f t="shared" si="4"/>
        <v>22529763.447008308</v>
      </c>
    </row>
    <row r="20" spans="2:15" x14ac:dyDescent="0.25">
      <c r="D20" s="36" t="s">
        <v>190</v>
      </c>
      <c r="E20" s="109">
        <v>0.06</v>
      </c>
      <c r="F20" s="36">
        <f t="shared" si="5"/>
        <v>26503617.392999999</v>
      </c>
      <c r="G20" s="36"/>
      <c r="I20" s="36">
        <f t="shared" si="6"/>
        <v>257.33999999999997</v>
      </c>
      <c r="J20" s="36">
        <f t="shared" si="3"/>
        <v>5435.3700000000008</v>
      </c>
      <c r="N20" s="34">
        <f t="shared" si="7"/>
        <v>1174374.0474833325</v>
      </c>
      <c r="O20" s="34">
        <f t="shared" si="4"/>
        <v>23704137.49449164</v>
      </c>
    </row>
    <row r="21" spans="2:15" x14ac:dyDescent="0.25">
      <c r="D21" s="36" t="s">
        <v>191</v>
      </c>
      <c r="E21" s="109">
        <v>0.13</v>
      </c>
      <c r="F21" s="36">
        <f t="shared" si="5"/>
        <v>57424504.351500005</v>
      </c>
      <c r="G21" s="36"/>
      <c r="I21" s="36">
        <f t="shared" si="6"/>
        <v>557.57000000000005</v>
      </c>
      <c r="J21" s="36">
        <f t="shared" si="3"/>
        <v>5992.9400000000005</v>
      </c>
      <c r="N21" s="34">
        <f t="shared" si="7"/>
        <v>2544477.1028805543</v>
      </c>
      <c r="O21" s="34">
        <f t="shared" si="4"/>
        <v>26248614.597372197</v>
      </c>
    </row>
    <row r="22" spans="2:15" x14ac:dyDescent="0.25">
      <c r="D22" s="36" t="s">
        <v>192</v>
      </c>
      <c r="E22" s="109">
        <v>0.11</v>
      </c>
      <c r="F22" s="36">
        <f t="shared" si="5"/>
        <v>48589965.2205</v>
      </c>
      <c r="G22" s="36"/>
      <c r="I22" s="36">
        <f t="shared" si="6"/>
        <v>471.79</v>
      </c>
      <c r="J22" s="36">
        <f t="shared" si="3"/>
        <v>6464.7300000000005</v>
      </c>
      <c r="N22" s="34">
        <f t="shared" si="7"/>
        <v>2153019.0870527765</v>
      </c>
      <c r="O22" s="34">
        <f t="shared" si="4"/>
        <v>28401633.684424974</v>
      </c>
    </row>
    <row r="23" spans="2:15" x14ac:dyDescent="0.25">
      <c r="D23" s="36" t="s">
        <v>29</v>
      </c>
      <c r="E23" s="109">
        <v>7.0000000000000007E-2</v>
      </c>
      <c r="F23" s="36">
        <f t="shared" si="5"/>
        <v>30920886.958500005</v>
      </c>
      <c r="G23" s="36"/>
      <c r="I23" s="36">
        <f t="shared" si="6"/>
        <v>300.23</v>
      </c>
      <c r="J23" s="36">
        <f t="shared" si="3"/>
        <v>6764.9600000000009</v>
      </c>
      <c r="N23" s="34">
        <f t="shared" si="7"/>
        <v>1370103.0553972216</v>
      </c>
      <c r="O23" s="34">
        <f t="shared" si="4"/>
        <v>29771736.739822194</v>
      </c>
    </row>
    <row r="24" spans="2:15" x14ac:dyDescent="0.25">
      <c r="D24" s="36" t="s">
        <v>30</v>
      </c>
      <c r="E24" s="109">
        <v>0.04</v>
      </c>
      <c r="F24" s="36">
        <f t="shared" si="5"/>
        <v>17669078.262000002</v>
      </c>
      <c r="G24" s="36"/>
      <c r="I24" s="36">
        <f t="shared" si="6"/>
        <v>171.56</v>
      </c>
      <c r="J24" s="36">
        <f t="shared" si="3"/>
        <v>6936.5200000000013</v>
      </c>
      <c r="N24" s="34">
        <f t="shared" si="7"/>
        <v>782916.03165555513</v>
      </c>
      <c r="O24" s="34">
        <f t="shared" si="4"/>
        <v>30554652.771477748</v>
      </c>
    </row>
    <row r="25" spans="2:15" x14ac:dyDescent="0.25">
      <c r="D25" s="36" t="s">
        <v>193</v>
      </c>
      <c r="E25" s="109">
        <v>0.06</v>
      </c>
      <c r="F25" s="36">
        <f t="shared" si="5"/>
        <v>26503617.392999999</v>
      </c>
      <c r="G25" s="36"/>
      <c r="I25" s="36">
        <f t="shared" si="6"/>
        <v>257.33999999999997</v>
      </c>
      <c r="J25" s="36">
        <f t="shared" si="3"/>
        <v>7193.8600000000015</v>
      </c>
      <c r="N25" s="34">
        <f t="shared" si="7"/>
        <v>1174374.0474833325</v>
      </c>
      <c r="O25" s="34">
        <f t="shared" si="4"/>
        <v>31729026.81896108</v>
      </c>
    </row>
    <row r="26" spans="2:15" x14ac:dyDescent="0.25">
      <c r="D26" s="36" t="s">
        <v>194</v>
      </c>
      <c r="E26" s="109">
        <v>0.09</v>
      </c>
      <c r="F26" s="36">
        <f t="shared" si="5"/>
        <v>39755426.089500003</v>
      </c>
      <c r="G26" s="36"/>
      <c r="I26" s="36">
        <f t="shared" si="6"/>
        <v>386.01</v>
      </c>
      <c r="J26" s="36">
        <f t="shared" si="3"/>
        <v>7579.8700000000017</v>
      </c>
      <c r="N26" s="34">
        <f t="shared" si="7"/>
        <v>1761561.0712249989</v>
      </c>
      <c r="O26" s="34">
        <f t="shared" si="4"/>
        <v>33490587.890186079</v>
      </c>
    </row>
    <row r="27" spans="2:15" x14ac:dyDescent="0.25">
      <c r="D27" s="36" t="s">
        <v>195</v>
      </c>
      <c r="E27" s="109">
        <v>0.17</v>
      </c>
      <c r="F27" s="36">
        <f t="shared" si="5"/>
        <v>75093582.613500014</v>
      </c>
      <c r="G27" s="36"/>
      <c r="I27" s="36">
        <f t="shared" si="6"/>
        <v>729.13000000000011</v>
      </c>
      <c r="J27" s="36">
        <f t="shared" si="3"/>
        <v>8309.0000000000018</v>
      </c>
      <c r="N27" s="34">
        <f t="shared" si="7"/>
        <v>3327393.1345361094</v>
      </c>
      <c r="O27" s="34">
        <f t="shared" si="4"/>
        <v>36817981.024722189</v>
      </c>
    </row>
    <row r="28" spans="2:15" x14ac:dyDescent="0.25">
      <c r="B28" t="s">
        <v>150</v>
      </c>
      <c r="C28" s="31">
        <v>486389085.6728574</v>
      </c>
      <c r="D28" s="36" t="s">
        <v>186</v>
      </c>
      <c r="E28" s="109">
        <v>0.1</v>
      </c>
      <c r="F28" s="36">
        <f>+$C$28*E28</f>
        <v>48638908.567285746</v>
      </c>
      <c r="G28" s="36"/>
      <c r="H28">
        <v>4581</v>
      </c>
      <c r="I28" s="36">
        <f>+$H$28*E28</f>
        <v>458.1</v>
      </c>
      <c r="J28" s="36">
        <f t="shared" si="3"/>
        <v>8767.1000000000022</v>
      </c>
      <c r="M28" s="31">
        <v>30253163.020353489</v>
      </c>
      <c r="N28" s="34">
        <f>+E28*$M$28</f>
        <v>3025316.302035349</v>
      </c>
      <c r="O28" s="34">
        <f t="shared" si="4"/>
        <v>39843297.326757535</v>
      </c>
    </row>
    <row r="29" spans="2:15" x14ac:dyDescent="0.25">
      <c r="D29" s="36" t="s">
        <v>187</v>
      </c>
      <c r="E29" s="109">
        <v>0.05</v>
      </c>
      <c r="F29" s="36">
        <f t="shared" ref="F29:F39" si="8">+$C$28*E29</f>
        <v>24319454.283642873</v>
      </c>
      <c r="G29" s="36"/>
      <c r="I29" s="36">
        <f t="shared" ref="I29:I39" si="9">+$H$28*E29</f>
        <v>229.05</v>
      </c>
      <c r="J29" s="36">
        <f t="shared" si="3"/>
        <v>8996.1500000000015</v>
      </c>
      <c r="N29" s="34">
        <f t="shared" ref="N29:N51" si="10">+E29*$M$28</f>
        <v>1512658.1510176745</v>
      </c>
      <c r="O29" s="34">
        <f t="shared" si="4"/>
        <v>41355955.477775209</v>
      </c>
    </row>
    <row r="30" spans="2:15" x14ac:dyDescent="0.25">
      <c r="D30" s="36" t="s">
        <v>188</v>
      </c>
      <c r="E30" s="109">
        <v>0.06</v>
      </c>
      <c r="F30" s="36">
        <f t="shared" si="8"/>
        <v>29183345.140371442</v>
      </c>
      <c r="G30" s="36"/>
      <c r="I30" s="36">
        <f t="shared" si="9"/>
        <v>274.86</v>
      </c>
      <c r="J30" s="36">
        <f t="shared" si="3"/>
        <v>9271.010000000002</v>
      </c>
      <c r="N30" s="34">
        <f t="shared" si="10"/>
        <v>1815189.7812212093</v>
      </c>
      <c r="O30" s="34">
        <f t="shared" si="4"/>
        <v>43171145.25899642</v>
      </c>
    </row>
    <row r="31" spans="2:15" x14ac:dyDescent="0.25">
      <c r="D31" s="36" t="s">
        <v>189</v>
      </c>
      <c r="E31" s="109">
        <v>0.06</v>
      </c>
      <c r="F31" s="36">
        <f t="shared" si="8"/>
        <v>29183345.140371442</v>
      </c>
      <c r="G31" s="36"/>
      <c r="I31" s="36">
        <f t="shared" si="9"/>
        <v>274.86</v>
      </c>
      <c r="J31" s="36">
        <f t="shared" si="3"/>
        <v>9545.8700000000026</v>
      </c>
      <c r="N31" s="34">
        <f t="shared" si="10"/>
        <v>1815189.7812212093</v>
      </c>
      <c r="O31" s="34">
        <f t="shared" si="4"/>
        <v>44986335.040217631</v>
      </c>
    </row>
    <row r="32" spans="2:15" x14ac:dyDescent="0.25">
      <c r="D32" s="36" t="s">
        <v>190</v>
      </c>
      <c r="E32" s="109">
        <v>0.06</v>
      </c>
      <c r="F32" s="36">
        <f t="shared" si="8"/>
        <v>29183345.140371442</v>
      </c>
      <c r="G32" s="36"/>
      <c r="I32" s="36">
        <f t="shared" si="9"/>
        <v>274.86</v>
      </c>
      <c r="J32" s="36">
        <f t="shared" si="3"/>
        <v>9820.7300000000032</v>
      </c>
      <c r="N32" s="34">
        <f t="shared" si="10"/>
        <v>1815189.7812212093</v>
      </c>
      <c r="O32" s="34">
        <f t="shared" si="4"/>
        <v>46801524.821438842</v>
      </c>
    </row>
    <row r="33" spans="2:15" x14ac:dyDescent="0.25">
      <c r="D33" s="36" t="s">
        <v>191</v>
      </c>
      <c r="E33" s="109">
        <v>0.13</v>
      </c>
      <c r="F33" s="36">
        <f t="shared" si="8"/>
        <v>63230581.137471467</v>
      </c>
      <c r="G33" s="36"/>
      <c r="I33" s="36">
        <f t="shared" si="9"/>
        <v>595.53</v>
      </c>
      <c r="J33" s="36">
        <f t="shared" si="3"/>
        <v>10416.260000000004</v>
      </c>
      <c r="N33" s="34">
        <f t="shared" si="10"/>
        <v>3932911.1926459535</v>
      </c>
      <c r="O33" s="34">
        <f t="shared" si="4"/>
        <v>50734436.014084794</v>
      </c>
    </row>
    <row r="34" spans="2:15" x14ac:dyDescent="0.25">
      <c r="D34" s="36" t="s">
        <v>192</v>
      </c>
      <c r="E34" s="109">
        <v>0.11</v>
      </c>
      <c r="F34" s="36">
        <f t="shared" si="8"/>
        <v>53502799.424014315</v>
      </c>
      <c r="G34" s="36"/>
      <c r="I34" s="36">
        <f t="shared" si="9"/>
        <v>503.91</v>
      </c>
      <c r="J34" s="36">
        <f t="shared" si="3"/>
        <v>10920.170000000004</v>
      </c>
      <c r="N34" s="34">
        <f t="shared" si="10"/>
        <v>3327847.9322388838</v>
      </c>
      <c r="O34" s="34">
        <f t="shared" si="4"/>
        <v>54062283.946323678</v>
      </c>
    </row>
    <row r="35" spans="2:15" x14ac:dyDescent="0.25">
      <c r="D35" s="36" t="s">
        <v>29</v>
      </c>
      <c r="E35" s="109">
        <v>7.0000000000000007E-2</v>
      </c>
      <c r="F35" s="36">
        <f t="shared" si="8"/>
        <v>34047235.997100018</v>
      </c>
      <c r="G35" s="36"/>
      <c r="I35" s="36">
        <f t="shared" si="9"/>
        <v>320.67</v>
      </c>
      <c r="J35" s="36">
        <f t="shared" si="3"/>
        <v>11240.840000000004</v>
      </c>
      <c r="N35" s="34">
        <f t="shared" si="10"/>
        <v>2117721.4114247444</v>
      </c>
      <c r="O35" s="34">
        <f t="shared" si="4"/>
        <v>56180005.357748419</v>
      </c>
    </row>
    <row r="36" spans="2:15" x14ac:dyDescent="0.25">
      <c r="D36" s="36" t="s">
        <v>30</v>
      </c>
      <c r="E36" s="109">
        <v>0.04</v>
      </c>
      <c r="F36" s="36">
        <f t="shared" si="8"/>
        <v>19455563.426914297</v>
      </c>
      <c r="G36" s="36"/>
      <c r="I36" s="36">
        <f t="shared" si="9"/>
        <v>183.24</v>
      </c>
      <c r="J36" s="36">
        <f t="shared" si="3"/>
        <v>11424.080000000004</v>
      </c>
      <c r="N36" s="34">
        <f t="shared" si="10"/>
        <v>1210126.5208141396</v>
      </c>
      <c r="O36" s="34">
        <f t="shared" si="4"/>
        <v>57390131.878562562</v>
      </c>
    </row>
    <row r="37" spans="2:15" x14ac:dyDescent="0.25">
      <c r="D37" s="36" t="s">
        <v>193</v>
      </c>
      <c r="E37" s="109">
        <v>0.06</v>
      </c>
      <c r="F37" s="36">
        <f t="shared" si="8"/>
        <v>29183345.140371442</v>
      </c>
      <c r="G37" s="36"/>
      <c r="I37" s="36">
        <f t="shared" si="9"/>
        <v>274.86</v>
      </c>
      <c r="J37" s="36">
        <f t="shared" si="3"/>
        <v>11698.940000000004</v>
      </c>
      <c r="N37" s="34">
        <f t="shared" si="10"/>
        <v>1815189.7812212093</v>
      </c>
      <c r="O37" s="34">
        <f t="shared" si="4"/>
        <v>59205321.659783773</v>
      </c>
    </row>
    <row r="38" spans="2:15" x14ac:dyDescent="0.25">
      <c r="D38" s="36" t="s">
        <v>194</v>
      </c>
      <c r="E38" s="109">
        <v>0.09</v>
      </c>
      <c r="F38" s="36">
        <f t="shared" si="8"/>
        <v>43775017.710557163</v>
      </c>
      <c r="G38" s="36"/>
      <c r="I38" s="36">
        <f t="shared" si="9"/>
        <v>412.28999999999996</v>
      </c>
      <c r="J38" s="36">
        <f t="shared" si="3"/>
        <v>12111.230000000003</v>
      </c>
      <c r="N38" s="34">
        <f t="shared" si="10"/>
        <v>2722784.6718318141</v>
      </c>
      <c r="O38" s="34">
        <f t="shared" si="4"/>
        <v>61928106.33161559</v>
      </c>
    </row>
    <row r="39" spans="2:15" x14ac:dyDescent="0.25">
      <c r="D39" s="36" t="s">
        <v>195</v>
      </c>
      <c r="E39" s="109">
        <v>0.17</v>
      </c>
      <c r="F39" s="36">
        <f t="shared" si="8"/>
        <v>82686144.564385772</v>
      </c>
      <c r="G39" s="36"/>
      <c r="I39" s="36">
        <f t="shared" si="9"/>
        <v>778.7700000000001</v>
      </c>
      <c r="J39" s="36">
        <f t="shared" si="3"/>
        <v>12890.000000000004</v>
      </c>
      <c r="M39" s="31">
        <v>32017930.576952439</v>
      </c>
      <c r="N39" s="34">
        <f t="shared" si="10"/>
        <v>5143037.7134600934</v>
      </c>
      <c r="O39" s="34">
        <f t="shared" si="4"/>
        <v>67071144.045075685</v>
      </c>
    </row>
    <row r="40" spans="2:15" x14ac:dyDescent="0.25">
      <c r="B40" t="s">
        <v>151</v>
      </c>
      <c r="C40" s="31">
        <v>527066777.68584979</v>
      </c>
      <c r="D40" s="36" t="s">
        <v>186</v>
      </c>
      <c r="E40" s="109">
        <v>0.1</v>
      </c>
      <c r="F40" s="36">
        <f>+$C$40*E40</f>
        <v>52706677.768584982</v>
      </c>
      <c r="G40" s="36"/>
      <c r="H40">
        <v>4801</v>
      </c>
      <c r="I40" s="36">
        <f>+$H$40*E40</f>
        <v>480.1</v>
      </c>
      <c r="J40" s="36">
        <f t="shared" si="3"/>
        <v>13370.100000000004</v>
      </c>
      <c r="N40" s="34">
        <f t="shared" si="10"/>
        <v>3025316.302035349</v>
      </c>
      <c r="O40" s="34">
        <f t="shared" si="4"/>
        <v>70096460.347111031</v>
      </c>
    </row>
    <row r="41" spans="2:15" x14ac:dyDescent="0.25">
      <c r="D41" s="36" t="s">
        <v>187</v>
      </c>
      <c r="E41" s="109">
        <v>0.05</v>
      </c>
      <c r="F41" s="36">
        <f t="shared" ref="F41:F51" si="11">+$C$40*E41</f>
        <v>26353338.884292491</v>
      </c>
      <c r="G41" s="36"/>
      <c r="I41" s="36">
        <f t="shared" ref="I41:I51" si="12">+$H$40*E41</f>
        <v>240.05</v>
      </c>
      <c r="J41" s="36">
        <f t="shared" si="3"/>
        <v>13610.150000000003</v>
      </c>
      <c r="N41" s="34">
        <f t="shared" si="10"/>
        <v>1512658.1510176745</v>
      </c>
      <c r="O41" s="34">
        <f t="shared" si="4"/>
        <v>71609118.498128712</v>
      </c>
    </row>
    <row r="42" spans="2:15" x14ac:dyDescent="0.25">
      <c r="D42" s="36" t="s">
        <v>188</v>
      </c>
      <c r="E42" s="109">
        <v>0.06</v>
      </c>
      <c r="F42" s="36">
        <f t="shared" si="11"/>
        <v>31624006.661150984</v>
      </c>
      <c r="G42" s="36"/>
      <c r="I42" s="36">
        <f t="shared" si="12"/>
        <v>288.06</v>
      </c>
      <c r="J42" s="36">
        <f t="shared" si="3"/>
        <v>13898.210000000003</v>
      </c>
      <c r="N42" s="34">
        <f t="shared" si="10"/>
        <v>1815189.7812212093</v>
      </c>
      <c r="O42" s="34">
        <f t="shared" si="4"/>
        <v>73424308.279349923</v>
      </c>
    </row>
    <row r="43" spans="2:15" x14ac:dyDescent="0.25">
      <c r="D43" s="36" t="s">
        <v>189</v>
      </c>
      <c r="E43" s="109">
        <v>0.06</v>
      </c>
      <c r="F43" s="36">
        <f t="shared" si="11"/>
        <v>31624006.661150984</v>
      </c>
      <c r="G43" s="36"/>
      <c r="I43" s="36">
        <f t="shared" si="12"/>
        <v>288.06</v>
      </c>
      <c r="J43" s="36">
        <f t="shared" si="3"/>
        <v>14186.270000000002</v>
      </c>
      <c r="N43" s="34">
        <f t="shared" si="10"/>
        <v>1815189.7812212093</v>
      </c>
      <c r="O43" s="34">
        <f t="shared" si="4"/>
        <v>75239498.060571134</v>
      </c>
    </row>
    <row r="44" spans="2:15" x14ac:dyDescent="0.25">
      <c r="D44" s="36" t="s">
        <v>190</v>
      </c>
      <c r="E44" s="109">
        <v>0.06</v>
      </c>
      <c r="F44" s="36">
        <f t="shared" si="11"/>
        <v>31624006.661150984</v>
      </c>
      <c r="G44" s="36"/>
      <c r="I44" s="36">
        <f t="shared" si="12"/>
        <v>288.06</v>
      </c>
      <c r="J44" s="36">
        <f t="shared" si="3"/>
        <v>14474.330000000002</v>
      </c>
      <c r="N44" s="34">
        <f t="shared" si="10"/>
        <v>1815189.7812212093</v>
      </c>
      <c r="O44" s="34">
        <f t="shared" si="4"/>
        <v>77054687.841792345</v>
      </c>
    </row>
    <row r="45" spans="2:15" x14ac:dyDescent="0.25">
      <c r="D45" s="36" t="s">
        <v>191</v>
      </c>
      <c r="E45" s="109">
        <v>0.13</v>
      </c>
      <c r="F45" s="36">
        <f t="shared" si="11"/>
        <v>68518681.099160478</v>
      </c>
      <c r="G45" s="36"/>
      <c r="I45" s="36">
        <f t="shared" si="12"/>
        <v>624.13</v>
      </c>
      <c r="J45" s="36">
        <f t="shared" si="3"/>
        <v>15098.460000000001</v>
      </c>
      <c r="N45" s="34">
        <f t="shared" si="10"/>
        <v>3932911.1926459535</v>
      </c>
      <c r="O45" s="34">
        <f t="shared" si="4"/>
        <v>80987599.034438297</v>
      </c>
    </row>
    <row r="46" spans="2:15" x14ac:dyDescent="0.25">
      <c r="D46" s="36" t="s">
        <v>192</v>
      </c>
      <c r="E46" s="109">
        <v>0.11</v>
      </c>
      <c r="F46" s="36">
        <f t="shared" si="11"/>
        <v>57977345.545443475</v>
      </c>
      <c r="G46" s="36"/>
      <c r="I46" s="36">
        <f t="shared" si="12"/>
        <v>528.11</v>
      </c>
      <c r="J46" s="36">
        <f t="shared" si="3"/>
        <v>15626.570000000002</v>
      </c>
      <c r="N46" s="34">
        <f t="shared" si="10"/>
        <v>3327847.9322388838</v>
      </c>
      <c r="O46" s="34">
        <f t="shared" si="4"/>
        <v>84315446.966677174</v>
      </c>
    </row>
    <row r="47" spans="2:15" x14ac:dyDescent="0.25">
      <c r="D47" s="36" t="s">
        <v>29</v>
      </c>
      <c r="E47" s="109">
        <v>7.0000000000000007E-2</v>
      </c>
      <c r="F47" s="36">
        <f t="shared" si="11"/>
        <v>36894674.438009486</v>
      </c>
      <c r="G47" s="36"/>
      <c r="I47" s="36">
        <f t="shared" si="12"/>
        <v>336.07000000000005</v>
      </c>
      <c r="J47" s="36">
        <f t="shared" si="3"/>
        <v>15962.640000000001</v>
      </c>
      <c r="N47" s="34">
        <f t="shared" si="10"/>
        <v>2117721.4114247444</v>
      </c>
      <c r="O47" s="34">
        <f t="shared" si="4"/>
        <v>86433168.378101915</v>
      </c>
    </row>
    <row r="48" spans="2:15" x14ac:dyDescent="0.25">
      <c r="D48" s="36" t="s">
        <v>30</v>
      </c>
      <c r="E48" s="109">
        <v>0.04</v>
      </c>
      <c r="F48" s="36">
        <f t="shared" si="11"/>
        <v>21082671.107433993</v>
      </c>
      <c r="G48" s="36"/>
      <c r="I48" s="36">
        <f t="shared" si="12"/>
        <v>192.04</v>
      </c>
      <c r="J48" s="36">
        <f t="shared" si="3"/>
        <v>16154.680000000002</v>
      </c>
      <c r="N48" s="34">
        <f t="shared" si="10"/>
        <v>1210126.5208141396</v>
      </c>
      <c r="O48" s="34">
        <f t="shared" si="4"/>
        <v>87643294.898916051</v>
      </c>
    </row>
    <row r="49" spans="2:15" x14ac:dyDescent="0.25">
      <c r="D49" s="36" t="s">
        <v>193</v>
      </c>
      <c r="E49" s="109">
        <v>0.06</v>
      </c>
      <c r="F49" s="36">
        <f t="shared" si="11"/>
        <v>31624006.661150984</v>
      </c>
      <c r="G49" s="36"/>
      <c r="I49" s="36">
        <f t="shared" si="12"/>
        <v>288.06</v>
      </c>
      <c r="J49" s="36">
        <f t="shared" si="3"/>
        <v>16442.740000000002</v>
      </c>
      <c r="N49" s="34">
        <f t="shared" si="10"/>
        <v>1815189.7812212093</v>
      </c>
      <c r="O49" s="34">
        <f t="shared" si="4"/>
        <v>89458484.680137262</v>
      </c>
    </row>
    <row r="50" spans="2:15" x14ac:dyDescent="0.25">
      <c r="D50" s="36" t="s">
        <v>194</v>
      </c>
      <c r="E50" s="109">
        <v>0.09</v>
      </c>
      <c r="F50" s="36">
        <f t="shared" si="11"/>
        <v>47436009.99172648</v>
      </c>
      <c r="G50" s="36"/>
      <c r="I50" s="36">
        <f t="shared" si="12"/>
        <v>432.09</v>
      </c>
      <c r="J50" s="36">
        <f t="shared" si="3"/>
        <v>16874.830000000002</v>
      </c>
      <c r="N50" s="34">
        <f t="shared" si="10"/>
        <v>2722784.6718318141</v>
      </c>
      <c r="O50" s="34">
        <f t="shared" si="4"/>
        <v>92181269.351969078</v>
      </c>
    </row>
    <row r="51" spans="2:15" x14ac:dyDescent="0.25">
      <c r="D51" s="36" t="s">
        <v>195</v>
      </c>
      <c r="E51" s="109">
        <v>0.17</v>
      </c>
      <c r="F51" s="36">
        <f t="shared" si="11"/>
        <v>89601352.206594467</v>
      </c>
      <c r="G51" s="36"/>
      <c r="I51" s="36">
        <f t="shared" si="12"/>
        <v>816.17000000000007</v>
      </c>
      <c r="J51" s="36">
        <f t="shared" si="3"/>
        <v>17691</v>
      </c>
      <c r="N51" s="34">
        <f t="shared" si="10"/>
        <v>5143037.7134600934</v>
      </c>
      <c r="O51" s="34">
        <f t="shared" si="4"/>
        <v>97324307.065429166</v>
      </c>
    </row>
    <row r="52" spans="2:15" x14ac:dyDescent="0.25">
      <c r="B52" t="s">
        <v>152</v>
      </c>
      <c r="C52" s="31">
        <v>570607764.19047785</v>
      </c>
      <c r="D52" s="36" t="s">
        <v>186</v>
      </c>
      <c r="E52" s="109">
        <v>0.1</v>
      </c>
      <c r="F52" s="36">
        <f>+$C$52*E52</f>
        <v>57060776.419047788</v>
      </c>
      <c r="G52" s="36"/>
      <c r="H52">
        <v>5022</v>
      </c>
      <c r="I52" s="36">
        <f>+E52*$H$52</f>
        <v>502.20000000000005</v>
      </c>
      <c r="J52" s="36">
        <f t="shared" si="3"/>
        <v>18193.2</v>
      </c>
      <c r="M52" s="31">
        <v>30414155.693574995</v>
      </c>
      <c r="N52" s="34">
        <f>+$M$52*E52</f>
        <v>3041415.5693574995</v>
      </c>
      <c r="O52" s="34">
        <f t="shared" si="4"/>
        <v>100365722.63478667</v>
      </c>
    </row>
    <row r="53" spans="2:15" x14ac:dyDescent="0.25">
      <c r="D53" s="36" t="s">
        <v>187</v>
      </c>
      <c r="E53" s="109">
        <v>0.05</v>
      </c>
      <c r="F53" s="36">
        <f t="shared" ref="F53:F63" si="13">+$C$52*E53</f>
        <v>28530388.209523894</v>
      </c>
      <c r="G53" s="36"/>
      <c r="I53" s="36">
        <f t="shared" ref="I53:I63" si="14">+E53*$H$52</f>
        <v>251.10000000000002</v>
      </c>
      <c r="J53" s="36">
        <f t="shared" si="3"/>
        <v>18444.3</v>
      </c>
      <c r="N53" s="34">
        <f t="shared" ref="N53:N63" si="15">+$M$52*E53</f>
        <v>1520707.7846787497</v>
      </c>
      <c r="O53" s="34">
        <f t="shared" si="4"/>
        <v>101886430.41946542</v>
      </c>
    </row>
    <row r="54" spans="2:15" x14ac:dyDescent="0.25">
      <c r="D54" s="36" t="s">
        <v>188</v>
      </c>
      <c r="E54" s="109">
        <v>0.06</v>
      </c>
      <c r="F54" s="36">
        <f t="shared" si="13"/>
        <v>34236465.851428673</v>
      </c>
      <c r="G54" s="36"/>
      <c r="I54" s="36">
        <f t="shared" si="14"/>
        <v>301.32</v>
      </c>
      <c r="J54" s="36">
        <f t="shared" si="3"/>
        <v>18745.62</v>
      </c>
      <c r="N54" s="34">
        <f t="shared" si="15"/>
        <v>1824849.3416144997</v>
      </c>
      <c r="O54" s="34">
        <f t="shared" si="4"/>
        <v>103711279.76107992</v>
      </c>
    </row>
    <row r="55" spans="2:15" x14ac:dyDescent="0.25">
      <c r="D55" s="36" t="s">
        <v>189</v>
      </c>
      <c r="E55" s="109">
        <v>0.06</v>
      </c>
      <c r="F55" s="36">
        <f t="shared" si="13"/>
        <v>34236465.851428673</v>
      </c>
      <c r="G55" s="36"/>
      <c r="I55" s="36">
        <f t="shared" si="14"/>
        <v>301.32</v>
      </c>
      <c r="J55" s="36">
        <f t="shared" si="3"/>
        <v>19046.939999999999</v>
      </c>
      <c r="N55" s="34">
        <f t="shared" si="15"/>
        <v>1824849.3416144997</v>
      </c>
      <c r="O55" s="34">
        <f t="shared" si="4"/>
        <v>105536129.10269442</v>
      </c>
    </row>
    <row r="56" spans="2:15" x14ac:dyDescent="0.25">
      <c r="D56" s="36" t="s">
        <v>190</v>
      </c>
      <c r="E56" s="109">
        <v>0.06</v>
      </c>
      <c r="F56" s="36">
        <f t="shared" si="13"/>
        <v>34236465.851428673</v>
      </c>
      <c r="G56" s="36"/>
      <c r="I56" s="36">
        <f t="shared" si="14"/>
        <v>301.32</v>
      </c>
      <c r="J56" s="36">
        <f t="shared" si="3"/>
        <v>19348.259999999998</v>
      </c>
      <c r="N56" s="34">
        <f t="shared" si="15"/>
        <v>1824849.3416144997</v>
      </c>
      <c r="O56" s="34">
        <f t="shared" si="4"/>
        <v>107360978.44430892</v>
      </c>
    </row>
    <row r="57" spans="2:15" x14ac:dyDescent="0.25">
      <c r="D57" s="36" t="s">
        <v>191</v>
      </c>
      <c r="E57" s="109">
        <v>0.13</v>
      </c>
      <c r="F57" s="36">
        <f t="shared" si="13"/>
        <v>74179009.344762117</v>
      </c>
      <c r="G57" s="36"/>
      <c r="I57" s="36">
        <f t="shared" si="14"/>
        <v>652.86</v>
      </c>
      <c r="J57" s="36">
        <f t="shared" si="3"/>
        <v>20001.12</v>
      </c>
      <c r="N57" s="34">
        <f t="shared" si="15"/>
        <v>3953840.2401647493</v>
      </c>
      <c r="O57" s="34">
        <f t="shared" si="4"/>
        <v>111314818.68447366</v>
      </c>
    </row>
    <row r="58" spans="2:15" x14ac:dyDescent="0.25">
      <c r="D58" s="36" t="s">
        <v>192</v>
      </c>
      <c r="E58" s="109">
        <v>0.11</v>
      </c>
      <c r="F58" s="36">
        <f t="shared" si="13"/>
        <v>62766854.060952567</v>
      </c>
      <c r="G58" s="36"/>
      <c r="I58" s="36">
        <f t="shared" si="14"/>
        <v>552.41999999999996</v>
      </c>
      <c r="J58" s="36">
        <f t="shared" si="3"/>
        <v>20553.539999999997</v>
      </c>
      <c r="N58" s="34">
        <f t="shared" si="15"/>
        <v>3345557.1262932494</v>
      </c>
      <c r="O58" s="34">
        <f t="shared" si="4"/>
        <v>114660375.81076691</v>
      </c>
    </row>
    <row r="59" spans="2:15" x14ac:dyDescent="0.25">
      <c r="D59" s="36" t="s">
        <v>29</v>
      </c>
      <c r="E59" s="109">
        <v>7.0000000000000007E-2</v>
      </c>
      <c r="F59" s="36">
        <f t="shared" si="13"/>
        <v>39942543.493333451</v>
      </c>
      <c r="G59" s="36"/>
      <c r="I59" s="36">
        <f t="shared" si="14"/>
        <v>351.54</v>
      </c>
      <c r="J59" s="36">
        <f t="shared" si="3"/>
        <v>20905.079999999998</v>
      </c>
      <c r="N59" s="34">
        <f t="shared" si="15"/>
        <v>2128990.8985502496</v>
      </c>
      <c r="O59" s="34">
        <f t="shared" si="4"/>
        <v>116789366.70931715</v>
      </c>
    </row>
    <row r="60" spans="2:15" x14ac:dyDescent="0.25">
      <c r="D60" s="36" t="s">
        <v>30</v>
      </c>
      <c r="E60" s="109">
        <v>0.04</v>
      </c>
      <c r="F60" s="36">
        <f t="shared" si="13"/>
        <v>22824310.567619115</v>
      </c>
      <c r="G60" s="36"/>
      <c r="I60" s="36">
        <f t="shared" si="14"/>
        <v>200.88</v>
      </c>
      <c r="J60" s="36">
        <f t="shared" si="3"/>
        <v>21105.96</v>
      </c>
      <c r="N60" s="34">
        <f t="shared" si="15"/>
        <v>1216566.2277429998</v>
      </c>
      <c r="O60" s="34">
        <f t="shared" si="4"/>
        <v>118005932.93706015</v>
      </c>
    </row>
    <row r="61" spans="2:15" x14ac:dyDescent="0.25">
      <c r="D61" s="36" t="s">
        <v>193</v>
      </c>
      <c r="E61" s="109">
        <v>0.06</v>
      </c>
      <c r="F61" s="36">
        <f t="shared" si="13"/>
        <v>34236465.851428673</v>
      </c>
      <c r="G61" s="36"/>
      <c r="I61" s="36">
        <f t="shared" si="14"/>
        <v>301.32</v>
      </c>
      <c r="J61" s="36">
        <f t="shared" si="3"/>
        <v>21407.279999999999</v>
      </c>
      <c r="N61" s="34">
        <f t="shared" si="15"/>
        <v>1824849.3416144997</v>
      </c>
      <c r="O61" s="34">
        <f t="shared" si="4"/>
        <v>119830782.27867465</v>
      </c>
    </row>
    <row r="62" spans="2:15" x14ac:dyDescent="0.25">
      <c r="D62" s="36" t="s">
        <v>194</v>
      </c>
      <c r="E62" s="109">
        <v>0.09</v>
      </c>
      <c r="F62" s="36">
        <f t="shared" si="13"/>
        <v>51354698.777143002</v>
      </c>
      <c r="G62" s="36"/>
      <c r="I62" s="36">
        <f t="shared" si="14"/>
        <v>451.97999999999996</v>
      </c>
      <c r="J62" s="36">
        <f t="shared" si="3"/>
        <v>21859.26</v>
      </c>
      <c r="N62" s="34">
        <f t="shared" si="15"/>
        <v>2737274.0124217495</v>
      </c>
      <c r="O62" s="34">
        <f t="shared" si="4"/>
        <v>122568056.29109639</v>
      </c>
    </row>
    <row r="63" spans="2:15" x14ac:dyDescent="0.25">
      <c r="D63" s="36" t="s">
        <v>195</v>
      </c>
      <c r="E63" s="109">
        <v>0.17</v>
      </c>
      <c r="F63" s="36">
        <f t="shared" si="13"/>
        <v>97003319.912381247</v>
      </c>
      <c r="G63" s="36"/>
      <c r="I63" s="36">
        <f t="shared" si="14"/>
        <v>853.74</v>
      </c>
      <c r="J63" s="36">
        <f t="shared" si="3"/>
        <v>22713</v>
      </c>
      <c r="N63" s="34">
        <f t="shared" si="15"/>
        <v>5170406.4679077491</v>
      </c>
      <c r="O63" s="34">
        <f t="shared" si="4"/>
        <v>127738462.75900415</v>
      </c>
    </row>
  </sheetData>
  <mergeCells count="1">
    <mergeCell ref="B1:O1"/>
  </mergeCells>
  <phoneticPr fontId="1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4" workbookViewId="0">
      <selection activeCell="F12" sqref="F12"/>
    </sheetView>
  </sheetViews>
  <sheetFormatPr baseColWidth="10" defaultRowHeight="15" x14ac:dyDescent="0.25"/>
  <cols>
    <col min="2" max="2" width="26.7109375" bestFit="1" customWidth="1"/>
    <col min="3" max="3" width="12.28515625" customWidth="1"/>
    <col min="4" max="4" width="14.7109375" customWidth="1"/>
    <col min="6" max="6" width="26.85546875" customWidth="1"/>
    <col min="7" max="7" width="13.5703125" customWidth="1"/>
    <col min="8" max="8" width="14.140625" customWidth="1"/>
    <col min="9" max="9" width="15.140625" customWidth="1"/>
  </cols>
  <sheetData>
    <row r="1" spans="2:4" ht="15.75" x14ac:dyDescent="0.25">
      <c r="B1" s="154" t="s">
        <v>120</v>
      </c>
      <c r="C1" s="154"/>
      <c r="D1" s="154"/>
    </row>
    <row r="2" spans="2:4" ht="15.75" x14ac:dyDescent="0.25">
      <c r="B2" s="26" t="s">
        <v>118</v>
      </c>
      <c r="C2" s="26">
        <v>1</v>
      </c>
      <c r="D2" s="27">
        <v>1500000</v>
      </c>
    </row>
    <row r="3" spans="2:4" ht="15.75" x14ac:dyDescent="0.25">
      <c r="B3" s="26" t="s">
        <v>119</v>
      </c>
      <c r="C3" s="26">
        <v>1</v>
      </c>
      <c r="D3" s="27">
        <v>1250000</v>
      </c>
    </row>
    <row r="4" spans="2:4" ht="15.75" x14ac:dyDescent="0.25">
      <c r="B4" s="28" t="s">
        <v>51</v>
      </c>
      <c r="C4" s="29"/>
      <c r="D4" s="30">
        <f>SUM(D2:D3)</f>
        <v>2750000</v>
      </c>
    </row>
    <row r="6" spans="2:4" ht="15.75" x14ac:dyDescent="0.25">
      <c r="B6" s="154" t="s">
        <v>56</v>
      </c>
      <c r="C6" s="154"/>
      <c r="D6" s="154"/>
    </row>
    <row r="7" spans="2:4" ht="15.75" x14ac:dyDescent="0.25">
      <c r="B7" s="26" t="s">
        <v>53</v>
      </c>
      <c r="C7" s="26">
        <v>1</v>
      </c>
      <c r="D7" s="27">
        <v>1400000</v>
      </c>
    </row>
    <row r="8" spans="2:4" ht="15.75" x14ac:dyDescent="0.25">
      <c r="B8" s="26" t="s">
        <v>54</v>
      </c>
      <c r="C8" s="26">
        <v>1</v>
      </c>
      <c r="D8" s="27">
        <v>1300000</v>
      </c>
    </row>
    <row r="9" spans="2:4" ht="15.75" x14ac:dyDescent="0.25">
      <c r="B9" s="26" t="s">
        <v>55</v>
      </c>
      <c r="C9" s="26">
        <v>1</v>
      </c>
      <c r="D9" s="27">
        <v>1800000</v>
      </c>
    </row>
    <row r="10" spans="2:4" ht="15.75" x14ac:dyDescent="0.25">
      <c r="B10" s="26" t="s">
        <v>43</v>
      </c>
      <c r="C10" s="26">
        <v>1</v>
      </c>
      <c r="D10" s="27">
        <v>260000</v>
      </c>
    </row>
    <row r="11" spans="2:4" ht="15.75" x14ac:dyDescent="0.25">
      <c r="B11" s="26" t="s">
        <v>49</v>
      </c>
      <c r="C11" s="26">
        <v>1</v>
      </c>
      <c r="D11" s="27">
        <v>160000</v>
      </c>
    </row>
    <row r="12" spans="2:4" ht="15.75" x14ac:dyDescent="0.25">
      <c r="B12" s="26" t="s">
        <v>50</v>
      </c>
      <c r="C12" s="26">
        <v>1</v>
      </c>
      <c r="D12" s="27">
        <v>320000</v>
      </c>
    </row>
    <row r="13" spans="2:4" ht="15.75" x14ac:dyDescent="0.25">
      <c r="B13" s="26" t="s">
        <v>44</v>
      </c>
      <c r="C13" s="26">
        <v>1</v>
      </c>
      <c r="D13" s="27">
        <v>160000</v>
      </c>
    </row>
    <row r="14" spans="2:4" ht="15.75" x14ac:dyDescent="0.25">
      <c r="B14" s="26" t="s">
        <v>45</v>
      </c>
      <c r="C14" s="26">
        <v>4</v>
      </c>
      <c r="D14" s="27">
        <v>248000</v>
      </c>
    </row>
    <row r="15" spans="2:4" ht="15.75" x14ac:dyDescent="0.25">
      <c r="B15" s="26" t="s">
        <v>46</v>
      </c>
      <c r="C15" s="26">
        <v>2</v>
      </c>
      <c r="D15" s="27">
        <v>108000</v>
      </c>
    </row>
    <row r="16" spans="2:4" ht="15.75" x14ac:dyDescent="0.25">
      <c r="B16" s="26" t="s">
        <v>47</v>
      </c>
      <c r="C16" s="26">
        <v>3</v>
      </c>
      <c r="D16" s="27">
        <v>342000</v>
      </c>
    </row>
    <row r="17" spans="2:9" ht="15.75" x14ac:dyDescent="0.25">
      <c r="B17" s="26" t="s">
        <v>48</v>
      </c>
      <c r="C17" s="26">
        <v>1</v>
      </c>
      <c r="D17" s="27">
        <v>874000</v>
      </c>
    </row>
    <row r="18" spans="2:9" ht="15.75" x14ac:dyDescent="0.25">
      <c r="B18" s="26" t="s">
        <v>196</v>
      </c>
      <c r="C18" s="26">
        <v>3</v>
      </c>
      <c r="D18" s="27">
        <v>2200000</v>
      </c>
    </row>
    <row r="19" spans="2:9" ht="15.75" x14ac:dyDescent="0.25">
      <c r="B19" s="26" t="s">
        <v>52</v>
      </c>
      <c r="C19" s="26">
        <v>4</v>
      </c>
      <c r="D19" s="27">
        <v>2500000</v>
      </c>
    </row>
    <row r="20" spans="2:9" ht="15.75" x14ac:dyDescent="0.25">
      <c r="B20" s="28" t="s">
        <v>51</v>
      </c>
      <c r="C20" s="29"/>
      <c r="D20" s="30">
        <f>SUM(D7:D19)</f>
        <v>11672000</v>
      </c>
    </row>
    <row r="21" spans="2:9" ht="15.75" thickBot="1" x14ac:dyDescent="0.3"/>
    <row r="22" spans="2:9" ht="15.75" x14ac:dyDescent="0.25">
      <c r="B22" s="155" t="s">
        <v>141</v>
      </c>
      <c r="C22" s="156"/>
      <c r="D22" s="156"/>
      <c r="E22" s="156"/>
      <c r="F22" s="157"/>
      <c r="G22" s="155" t="s">
        <v>142</v>
      </c>
      <c r="H22" s="156"/>
      <c r="I22" s="157"/>
    </row>
    <row r="23" spans="2:9" ht="32.25" thickBot="1" x14ac:dyDescent="0.3">
      <c r="B23" s="55" t="s">
        <v>121</v>
      </c>
      <c r="C23" s="56" t="s">
        <v>122</v>
      </c>
      <c r="D23" s="56" t="s">
        <v>42</v>
      </c>
      <c r="E23" s="56" t="s">
        <v>123</v>
      </c>
      <c r="F23" s="57" t="s">
        <v>124</v>
      </c>
      <c r="G23" s="55" t="s">
        <v>122</v>
      </c>
      <c r="H23" s="56" t="s">
        <v>125</v>
      </c>
      <c r="I23" s="57" t="s">
        <v>126</v>
      </c>
    </row>
    <row r="24" spans="2:9" ht="15.75" x14ac:dyDescent="0.25">
      <c r="B24" s="47" t="s">
        <v>127</v>
      </c>
      <c r="C24" s="48" t="s">
        <v>128</v>
      </c>
      <c r="D24" s="49">
        <v>500</v>
      </c>
      <c r="E24" s="50">
        <v>14000</v>
      </c>
      <c r="F24" s="51">
        <f>E24*D24</f>
        <v>7000000</v>
      </c>
      <c r="G24" s="52" t="s">
        <v>128</v>
      </c>
      <c r="H24" s="53">
        <v>1.6</v>
      </c>
      <c r="I24" s="54">
        <f>+E24*H24</f>
        <v>22400</v>
      </c>
    </row>
    <row r="25" spans="2:9" ht="15.75" x14ac:dyDescent="0.25">
      <c r="B25" s="39" t="s">
        <v>129</v>
      </c>
      <c r="C25" s="40" t="s">
        <v>128</v>
      </c>
      <c r="D25" s="41">
        <v>600</v>
      </c>
      <c r="E25" s="45">
        <v>6000</v>
      </c>
      <c r="F25" s="46">
        <f t="shared" ref="F25:F33" si="0">D25*E25</f>
        <v>3600000</v>
      </c>
      <c r="G25" s="42" t="s">
        <v>128</v>
      </c>
      <c r="H25" s="43">
        <v>1.8</v>
      </c>
      <c r="I25" s="44">
        <f t="shared" ref="I25:I35" si="1">+E25*H25</f>
        <v>10800</v>
      </c>
    </row>
    <row r="26" spans="2:9" ht="15.75" x14ac:dyDescent="0.25">
      <c r="B26" s="39" t="s">
        <v>130</v>
      </c>
      <c r="C26" s="40" t="s">
        <v>128</v>
      </c>
      <c r="D26" s="41">
        <v>130</v>
      </c>
      <c r="E26" s="45">
        <v>5000</v>
      </c>
      <c r="F26" s="46">
        <f t="shared" si="0"/>
        <v>650000</v>
      </c>
      <c r="G26" s="42" t="s">
        <v>128</v>
      </c>
      <c r="H26" s="43">
        <v>0.4</v>
      </c>
      <c r="I26" s="44">
        <f t="shared" si="1"/>
        <v>2000</v>
      </c>
    </row>
    <row r="27" spans="2:9" ht="15.75" x14ac:dyDescent="0.25">
      <c r="B27" s="39" t="s">
        <v>131</v>
      </c>
      <c r="C27" s="40" t="s">
        <v>132</v>
      </c>
      <c r="D27" s="41">
        <v>320</v>
      </c>
      <c r="E27" s="45">
        <v>9000</v>
      </c>
      <c r="F27" s="46">
        <f t="shared" si="0"/>
        <v>2880000</v>
      </c>
      <c r="G27" s="42" t="s">
        <v>132</v>
      </c>
      <c r="H27" s="43">
        <v>1</v>
      </c>
      <c r="I27" s="44">
        <f t="shared" si="1"/>
        <v>9000</v>
      </c>
    </row>
    <row r="28" spans="2:9" ht="15.75" x14ac:dyDescent="0.25">
      <c r="B28" s="39" t="s">
        <v>133</v>
      </c>
      <c r="C28" s="40" t="s">
        <v>128</v>
      </c>
      <c r="D28" s="41">
        <v>320</v>
      </c>
      <c r="E28" s="45">
        <v>150</v>
      </c>
      <c r="F28" s="46">
        <f t="shared" si="0"/>
        <v>48000</v>
      </c>
      <c r="G28" s="42" t="s">
        <v>128</v>
      </c>
      <c r="H28" s="43">
        <v>0.5</v>
      </c>
      <c r="I28" s="44">
        <f t="shared" si="1"/>
        <v>75</v>
      </c>
    </row>
    <row r="29" spans="2:9" ht="15.75" x14ac:dyDescent="0.25">
      <c r="B29" s="39" t="s">
        <v>134</v>
      </c>
      <c r="C29" s="40" t="s">
        <v>132</v>
      </c>
      <c r="D29" s="41">
        <v>320</v>
      </c>
      <c r="E29" s="45">
        <v>2500</v>
      </c>
      <c r="F29" s="46">
        <f t="shared" si="0"/>
        <v>800000</v>
      </c>
      <c r="G29" s="42" t="s">
        <v>132</v>
      </c>
      <c r="H29" s="43">
        <v>1</v>
      </c>
      <c r="I29" s="44">
        <f t="shared" si="1"/>
        <v>2500</v>
      </c>
    </row>
    <row r="30" spans="2:9" ht="15.75" x14ac:dyDescent="0.25">
      <c r="B30" s="39" t="s">
        <v>135</v>
      </c>
      <c r="C30" s="40" t="s">
        <v>128</v>
      </c>
      <c r="D30" s="41">
        <v>320</v>
      </c>
      <c r="E30" s="45">
        <v>800</v>
      </c>
      <c r="F30" s="46">
        <f t="shared" si="0"/>
        <v>256000</v>
      </c>
      <c r="G30" s="42" t="s">
        <v>128</v>
      </c>
      <c r="H30" s="43">
        <v>0.7</v>
      </c>
      <c r="I30" s="44">
        <f t="shared" si="1"/>
        <v>560</v>
      </c>
    </row>
    <row r="31" spans="2:9" ht="15.75" x14ac:dyDescent="0.25">
      <c r="B31" s="39" t="s">
        <v>136</v>
      </c>
      <c r="C31" s="40" t="s">
        <v>128</v>
      </c>
      <c r="D31" s="41">
        <v>640</v>
      </c>
      <c r="E31" s="45">
        <v>450</v>
      </c>
      <c r="F31" s="46">
        <f t="shared" si="0"/>
        <v>288000</v>
      </c>
      <c r="G31" s="42" t="s">
        <v>128</v>
      </c>
      <c r="H31" s="43">
        <v>0.5</v>
      </c>
      <c r="I31" s="44">
        <f t="shared" si="1"/>
        <v>225</v>
      </c>
    </row>
    <row r="32" spans="2:9" ht="15.75" x14ac:dyDescent="0.25">
      <c r="B32" s="39" t="s">
        <v>137</v>
      </c>
      <c r="C32" s="40" t="s">
        <v>132</v>
      </c>
      <c r="D32" s="41">
        <v>2000</v>
      </c>
      <c r="E32" s="45">
        <v>20</v>
      </c>
      <c r="F32" s="46">
        <f t="shared" si="0"/>
        <v>40000</v>
      </c>
      <c r="G32" s="42" t="s">
        <v>132</v>
      </c>
      <c r="H32" s="43">
        <v>6</v>
      </c>
      <c r="I32" s="44">
        <f t="shared" si="1"/>
        <v>120</v>
      </c>
    </row>
    <row r="33" spans="2:10" ht="15.75" x14ac:dyDescent="0.25">
      <c r="B33" s="39" t="s">
        <v>138</v>
      </c>
      <c r="C33" s="40" t="s">
        <v>132</v>
      </c>
      <c r="D33" s="41">
        <v>1300</v>
      </c>
      <c r="E33" s="45">
        <v>150</v>
      </c>
      <c r="F33" s="46">
        <f t="shared" si="0"/>
        <v>195000</v>
      </c>
      <c r="G33" s="42" t="s">
        <v>132</v>
      </c>
      <c r="H33" s="43">
        <v>4</v>
      </c>
      <c r="I33" s="44">
        <f t="shared" si="1"/>
        <v>600</v>
      </c>
    </row>
    <row r="34" spans="2:10" ht="15.75" x14ac:dyDescent="0.25">
      <c r="B34" s="39" t="s">
        <v>139</v>
      </c>
      <c r="C34" s="40" t="s">
        <v>132</v>
      </c>
      <c r="D34" s="41">
        <v>8</v>
      </c>
      <c r="E34" s="45">
        <v>2500</v>
      </c>
      <c r="F34" s="46">
        <f>+D34*2500</f>
        <v>20000</v>
      </c>
      <c r="G34" s="42" t="s">
        <v>132</v>
      </c>
      <c r="H34" s="43">
        <v>2.5000000000000001E-2</v>
      </c>
      <c r="I34" s="44">
        <f t="shared" si="1"/>
        <v>62.5</v>
      </c>
    </row>
    <row r="35" spans="2:10" ht="16.5" thickBot="1" x14ac:dyDescent="0.3">
      <c r="B35" s="58" t="s">
        <v>140</v>
      </c>
      <c r="C35" s="59" t="s">
        <v>132</v>
      </c>
      <c r="D35" s="60">
        <v>8</v>
      </c>
      <c r="E35" s="61">
        <v>3500</v>
      </c>
      <c r="F35" s="62">
        <f>+D35*3500</f>
        <v>28000</v>
      </c>
      <c r="G35" s="63" t="s">
        <v>132</v>
      </c>
      <c r="H35" s="64">
        <v>2.5000000000000001E-2</v>
      </c>
      <c r="I35" s="65">
        <f t="shared" si="1"/>
        <v>87.5</v>
      </c>
    </row>
    <row r="36" spans="2:10" ht="16.5" thickBot="1" x14ac:dyDescent="0.3">
      <c r="B36" s="152" t="s">
        <v>143</v>
      </c>
      <c r="C36" s="153"/>
      <c r="D36" s="153"/>
      <c r="E36" s="153"/>
      <c r="F36" s="66">
        <f>SUM(F24:F35)</f>
        <v>15805000</v>
      </c>
      <c r="G36" s="150" t="s">
        <v>145</v>
      </c>
      <c r="H36" s="151"/>
      <c r="I36" s="67">
        <f>SUM(I24:I35)</f>
        <v>48430</v>
      </c>
      <c r="J36" s="38"/>
    </row>
    <row r="37" spans="2:10" ht="15.75" x14ac:dyDescent="0.25">
      <c r="B37" s="68"/>
      <c r="C37" s="68"/>
      <c r="D37" s="68"/>
      <c r="E37" s="68"/>
      <c r="F37" s="69">
        <f>+F36*104%</f>
        <v>16437200</v>
      </c>
      <c r="G37" s="70"/>
      <c r="H37" s="70"/>
      <c r="I37" s="71"/>
      <c r="J37" s="38"/>
    </row>
    <row r="38" spans="2:10" ht="15.75" x14ac:dyDescent="0.25">
      <c r="B38" s="32" t="s">
        <v>144</v>
      </c>
      <c r="F38" s="69">
        <f>+F37*104%</f>
        <v>17094688</v>
      </c>
    </row>
    <row r="39" spans="2:10" ht="15.75" x14ac:dyDescent="0.25">
      <c r="F39" s="69">
        <f>+F38*104%</f>
        <v>17778475.52</v>
      </c>
    </row>
    <row r="40" spans="2:10" ht="15.75" x14ac:dyDescent="0.25">
      <c r="F40" s="69">
        <f>+F39*104%</f>
        <v>18489614.540800001</v>
      </c>
    </row>
    <row r="42" spans="2:10" ht="15.75" x14ac:dyDescent="0.25">
      <c r="B42" s="154" t="s">
        <v>163</v>
      </c>
      <c r="C42" s="154"/>
      <c r="D42" s="154"/>
    </row>
    <row r="43" spans="2:10" ht="15.75" x14ac:dyDescent="0.25">
      <c r="B43" s="26" t="s">
        <v>161</v>
      </c>
      <c r="C43" s="26">
        <v>1</v>
      </c>
      <c r="D43" s="27">
        <v>3000000</v>
      </c>
    </row>
    <row r="44" spans="2:10" ht="15.75" x14ac:dyDescent="0.25">
      <c r="B44" s="26" t="s">
        <v>162</v>
      </c>
      <c r="C44" s="26">
        <v>1</v>
      </c>
      <c r="D44" s="27">
        <v>2500000</v>
      </c>
    </row>
    <row r="45" spans="2:10" ht="15.75" x14ac:dyDescent="0.25">
      <c r="B45" s="28" t="s">
        <v>51</v>
      </c>
      <c r="C45" s="29"/>
      <c r="D45" s="30">
        <f>SUM(D43:D44)</f>
        <v>5500000</v>
      </c>
    </row>
  </sheetData>
  <mergeCells count="7">
    <mergeCell ref="G36:H36"/>
    <mergeCell ref="B36:E36"/>
    <mergeCell ref="B42:D42"/>
    <mergeCell ref="B6:D6"/>
    <mergeCell ref="B1:D1"/>
    <mergeCell ref="B22:F22"/>
    <mergeCell ref="G22:I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showGridLines="0" workbookViewId="0">
      <selection activeCell="B1" sqref="B1:D12"/>
    </sheetView>
  </sheetViews>
  <sheetFormatPr baseColWidth="10" defaultRowHeight="15" x14ac:dyDescent="0.25"/>
  <cols>
    <col min="2" max="2" width="4.7109375" bestFit="1" customWidth="1"/>
    <col min="3" max="3" width="16.140625" customWidth="1"/>
    <col min="4" max="4" width="20.5703125" customWidth="1"/>
    <col min="6" max="6" width="21.140625" customWidth="1"/>
    <col min="9" max="10" width="12.42578125" bestFit="1" customWidth="1"/>
  </cols>
  <sheetData>
    <row r="1" spans="2:10" x14ac:dyDescent="0.25">
      <c r="B1" s="158" t="s">
        <v>176</v>
      </c>
      <c r="C1" s="158"/>
      <c r="D1" s="98">
        <v>0.2</v>
      </c>
    </row>
    <row r="3" spans="2:10" ht="15.75" x14ac:dyDescent="0.25">
      <c r="B3" s="99" t="s">
        <v>172</v>
      </c>
      <c r="C3" s="99" t="s">
        <v>107</v>
      </c>
      <c r="D3" s="99" t="s">
        <v>175</v>
      </c>
    </row>
    <row r="4" spans="2:10" ht="15.75" x14ac:dyDescent="0.25">
      <c r="B4" s="93">
        <v>0</v>
      </c>
      <c r="C4" s="102">
        <v>-70000000</v>
      </c>
      <c r="D4" s="103">
        <f t="shared" ref="D4:D9" si="0">-PV($D$1,B4,0,C4)</f>
        <v>-70000000</v>
      </c>
    </row>
    <row r="5" spans="2:10" ht="15.75" x14ac:dyDescent="0.25">
      <c r="B5" s="100">
        <v>1</v>
      </c>
      <c r="C5" s="81">
        <f>+'FLUJO DE CAJA'!C26</f>
        <v>20694096.279999971</v>
      </c>
      <c r="D5" s="101">
        <f t="shared" si="0"/>
        <v>17245080.233333312</v>
      </c>
      <c r="I5">
        <f>+(SUM(D5:D9)-70000000)/70000000</f>
        <v>0.85004616232290264</v>
      </c>
      <c r="J5">
        <f>+I5*100%</f>
        <v>0.85004616232290264</v>
      </c>
    </row>
    <row r="6" spans="2:10" ht="15.75" x14ac:dyDescent="0.25">
      <c r="B6" s="100">
        <v>2</v>
      </c>
      <c r="C6" s="81">
        <f>+'FLUJO DE CAJA'!E26</f>
        <v>28184977.629459262</v>
      </c>
      <c r="D6" s="101">
        <f t="shared" si="0"/>
        <v>19572901.131568931</v>
      </c>
    </row>
    <row r="7" spans="2:10" ht="15.75" x14ac:dyDescent="0.25">
      <c r="B7" s="100">
        <v>3</v>
      </c>
      <c r="C7" s="81">
        <f>+'FLUJO DE CAJA'!G26</f>
        <v>52277466.266999662</v>
      </c>
      <c r="D7" s="101">
        <f t="shared" si="0"/>
        <v>30253163.348958138</v>
      </c>
    </row>
    <row r="8" spans="2:10" ht="15.75" x14ac:dyDescent="0.25">
      <c r="B8" s="100">
        <v>4</v>
      </c>
      <c r="C8" s="81">
        <f>+'FLUJO DE CAJA'!I26</f>
        <v>66392381.897618115</v>
      </c>
      <c r="D8" s="101">
        <f t="shared" si="0"/>
        <v>32017931.084885281</v>
      </c>
    </row>
    <row r="9" spans="2:10" ht="15.75" x14ac:dyDescent="0.25">
      <c r="B9" s="100">
        <v>5</v>
      </c>
      <c r="C9" s="81">
        <f>+'FLUJO DE CAJA'!K26</f>
        <v>75680151.572657943</v>
      </c>
      <c r="D9" s="101">
        <f t="shared" si="0"/>
        <v>30414155.563857522</v>
      </c>
    </row>
    <row r="10" spans="2:10" ht="15.75" x14ac:dyDescent="0.25">
      <c r="B10" s="77"/>
      <c r="C10" s="77"/>
      <c r="D10" s="77"/>
    </row>
    <row r="11" spans="2:10" ht="15.75" x14ac:dyDescent="0.25">
      <c r="B11" s="77"/>
      <c r="C11" s="104" t="s">
        <v>173</v>
      </c>
      <c r="D11" s="105">
        <f>+NPV(D1,C5:C9)+C4</f>
        <v>59503231.362603158</v>
      </c>
    </row>
    <row r="12" spans="2:10" ht="15.75" x14ac:dyDescent="0.25">
      <c r="B12" s="77"/>
      <c r="C12" s="104" t="s">
        <v>174</v>
      </c>
      <c r="D12" s="106">
        <f>+IRR(C4:C9,D1)</f>
        <v>0.46152049887346358</v>
      </c>
    </row>
  </sheetData>
  <mergeCells count="1">
    <mergeCell ref="B1:C1"/>
  </mergeCells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F20" sqref="F20"/>
    </sheetView>
  </sheetViews>
  <sheetFormatPr baseColWidth="10" defaultRowHeight="15" x14ac:dyDescent="0.25"/>
  <cols>
    <col min="2" max="2" width="25" customWidth="1"/>
    <col min="3" max="4" width="12.140625" bestFit="1" customWidth="1"/>
    <col min="5" max="5" width="12.5703125" customWidth="1"/>
    <col min="6" max="7" width="13.5703125" customWidth="1"/>
  </cols>
  <sheetData>
    <row r="2" spans="2:7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4" spans="2:7" x14ac:dyDescent="0.25">
      <c r="B4" t="s">
        <v>153</v>
      </c>
      <c r="D4" s="72">
        <v>3.6999999999999998E-2</v>
      </c>
      <c r="E4" s="72">
        <v>3.7999999999999999E-2</v>
      </c>
      <c r="F4" s="72">
        <v>3.7999999999999999E-2</v>
      </c>
      <c r="G4" s="72">
        <v>3.5999999999999997E-2</v>
      </c>
    </row>
    <row r="5" spans="2:7" x14ac:dyDescent="0.25">
      <c r="B5" t="s">
        <v>159</v>
      </c>
      <c r="D5" s="73">
        <v>0.03</v>
      </c>
      <c r="E5" s="73">
        <v>0.02</v>
      </c>
      <c r="F5" s="73">
        <v>0.01</v>
      </c>
      <c r="G5" s="73"/>
    </row>
    <row r="6" spans="2:7" x14ac:dyDescent="0.25">
      <c r="B6" t="s">
        <v>154</v>
      </c>
      <c r="C6" s="31">
        <f>335*12</f>
        <v>4020</v>
      </c>
      <c r="D6" s="31">
        <f>+C6+(D4*C6)+(D5*C6)</f>
        <v>4289.34</v>
      </c>
      <c r="E6" s="31">
        <f>+D6+(E4*D6)+(E5*D6)</f>
        <v>4538.1217200000001</v>
      </c>
      <c r="F6" s="31">
        <f>+E6+(F4*E6)+(F5*E6)</f>
        <v>4755.9515625599997</v>
      </c>
      <c r="G6" s="31">
        <f>+F6+(G4*F6)+(G5*F6)</f>
        <v>4927.1658188121601</v>
      </c>
    </row>
    <row r="8" spans="2:7" x14ac:dyDescent="0.25">
      <c r="C8" t="s">
        <v>148</v>
      </c>
      <c r="D8" t="s">
        <v>149</v>
      </c>
      <c r="E8" t="s">
        <v>150</v>
      </c>
      <c r="F8" t="s">
        <v>151</v>
      </c>
      <c r="G8" t="s">
        <v>152</v>
      </c>
    </row>
    <row r="9" spans="2:7" x14ac:dyDescent="0.25">
      <c r="B9" t="s">
        <v>157</v>
      </c>
      <c r="D9" s="72">
        <v>3.5000000000000003E-2</v>
      </c>
      <c r="E9" s="72">
        <v>3.1E-2</v>
      </c>
      <c r="F9" s="72">
        <v>3.4000000000000002E-2</v>
      </c>
      <c r="G9" s="72">
        <v>3.5000000000000003E-2</v>
      </c>
    </row>
    <row r="10" spans="2:7" x14ac:dyDescent="0.25">
      <c r="B10" t="s">
        <v>155</v>
      </c>
      <c r="C10" s="31">
        <v>99500</v>
      </c>
      <c r="D10" s="31">
        <f>+C10*D9+C10</f>
        <v>102982.5</v>
      </c>
      <c r="E10" s="31">
        <f t="shared" ref="E10:G10" si="0">+D10*E9+D10</f>
        <v>106174.9575</v>
      </c>
      <c r="F10" s="31">
        <f t="shared" si="0"/>
        <v>109784.906055</v>
      </c>
      <c r="G10" s="31">
        <f t="shared" si="0"/>
        <v>113627.377766925</v>
      </c>
    </row>
    <row r="11" spans="2:7" x14ac:dyDescent="0.25">
      <c r="B11" t="s">
        <v>156</v>
      </c>
      <c r="C11" s="31">
        <f>+C10*C6</f>
        <v>399990000</v>
      </c>
      <c r="D11" s="34">
        <f>+D6*D10</f>
        <v>441726956.55000001</v>
      </c>
      <c r="E11" s="34">
        <f t="shared" ref="E11:G11" si="1">+E6*E10</f>
        <v>481834880.75082695</v>
      </c>
      <c r="F11" s="34">
        <f t="shared" si="1"/>
        <v>522131695.49778003</v>
      </c>
      <c r="G11" s="34">
        <f t="shared" si="1"/>
        <v>559860931.81444967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>
      <selection activeCell="G24" sqref="G24"/>
    </sheetView>
  </sheetViews>
  <sheetFormatPr baseColWidth="10" defaultRowHeight="15" x14ac:dyDescent="0.25"/>
  <cols>
    <col min="2" max="2" width="17.28515625" customWidth="1"/>
    <col min="5" max="5" width="11.42578125" style="36" bestFit="1" customWidth="1"/>
    <col min="6" max="6" width="12.140625" customWidth="1"/>
    <col min="7" max="7" width="11.42578125" bestFit="1" customWidth="1"/>
    <col min="8" max="8" width="16.7109375" customWidth="1"/>
    <col min="9" max="9" width="13.42578125" style="35" bestFit="1" customWidth="1"/>
  </cols>
  <sheetData>
    <row r="1" spans="1:9" x14ac:dyDescent="0.25">
      <c r="I1"/>
    </row>
    <row r="2" spans="1:9" x14ac:dyDescent="0.25">
      <c r="I2"/>
    </row>
    <row r="3" spans="1:9" x14ac:dyDescent="0.25">
      <c r="D3" s="31"/>
      <c r="E3" s="37">
        <f>+SUBTOTAL(9,E5:E1048576)</f>
        <v>17028881.333333336</v>
      </c>
      <c r="F3" s="31">
        <f>+SUBTOTAL(9,F5:F1048576)</f>
        <v>1880460.92</v>
      </c>
      <c r="G3" s="31">
        <f>+SUBTOTAL(9,G5:G1048576)</f>
        <v>9433078.5599999987</v>
      </c>
      <c r="H3" s="31">
        <f>+SUBTOTAL(9,H5:H1048576)</f>
        <v>109</v>
      </c>
      <c r="I3" s="31">
        <f>+SUBTOTAL(9,I5:I1048576)</f>
        <v>184731342.72</v>
      </c>
    </row>
    <row r="4" spans="1:9" x14ac:dyDescent="0.25">
      <c r="A4" t="s">
        <v>108</v>
      </c>
      <c r="B4" t="s">
        <v>109</v>
      </c>
      <c r="C4" t="s">
        <v>93</v>
      </c>
      <c r="D4" t="s">
        <v>94</v>
      </c>
      <c r="E4" s="36" t="s">
        <v>107</v>
      </c>
      <c r="F4" t="s">
        <v>95</v>
      </c>
      <c r="G4" t="s">
        <v>97</v>
      </c>
      <c r="H4" t="s">
        <v>96</v>
      </c>
      <c r="I4" t="s">
        <v>98</v>
      </c>
    </row>
    <row r="5" spans="1:9" x14ac:dyDescent="0.25">
      <c r="A5" t="s">
        <v>99</v>
      </c>
      <c r="B5" t="s">
        <v>101</v>
      </c>
      <c r="C5" t="s">
        <v>87</v>
      </c>
      <c r="D5">
        <v>2</v>
      </c>
      <c r="E5" s="36">
        <v>828116</v>
      </c>
      <c r="F5" s="36">
        <f>+E5*29%</f>
        <v>240153.63999999998</v>
      </c>
      <c r="G5" s="36">
        <f>+(F5+E5)*D5</f>
        <v>2136539.2799999998</v>
      </c>
      <c r="H5" s="36">
        <v>12</v>
      </c>
      <c r="I5" s="36">
        <f>+G5*H5</f>
        <v>25638471.359999999</v>
      </c>
    </row>
    <row r="6" spans="1:9" x14ac:dyDescent="0.25">
      <c r="A6" t="s">
        <v>99</v>
      </c>
      <c r="B6" t="s">
        <v>101</v>
      </c>
      <c r="C6" t="s">
        <v>88</v>
      </c>
      <c r="D6">
        <v>1</v>
      </c>
      <c r="E6" s="36">
        <v>828116</v>
      </c>
      <c r="F6" s="36">
        <f t="shared" ref="F6:F8" si="0">+E6*29%</f>
        <v>240153.63999999998</v>
      </c>
      <c r="G6" s="36">
        <f t="shared" ref="G6:G9" si="1">+(F6+E6)*D6</f>
        <v>1068269.6399999999</v>
      </c>
      <c r="H6" s="36">
        <v>12</v>
      </c>
      <c r="I6" s="36">
        <f t="shared" ref="I6:I9" si="2">+G6*H6</f>
        <v>12819235.68</v>
      </c>
    </row>
    <row r="7" spans="1:9" x14ac:dyDescent="0.25">
      <c r="A7" t="s">
        <v>99</v>
      </c>
      <c r="B7" t="s">
        <v>101</v>
      </c>
      <c r="C7" t="s">
        <v>89</v>
      </c>
      <c r="D7">
        <v>1</v>
      </c>
      <c r="E7" s="36">
        <v>828116</v>
      </c>
      <c r="F7" s="36">
        <f t="shared" si="0"/>
        <v>240153.63999999998</v>
      </c>
      <c r="G7" s="36">
        <f t="shared" si="1"/>
        <v>1068269.6399999999</v>
      </c>
      <c r="H7" s="36">
        <v>12</v>
      </c>
      <c r="I7" s="36">
        <f t="shared" si="2"/>
        <v>12819235.68</v>
      </c>
    </row>
    <row r="8" spans="1:9" x14ac:dyDescent="0.25">
      <c r="A8" t="s">
        <v>100</v>
      </c>
      <c r="B8" t="s">
        <v>102</v>
      </c>
      <c r="C8" t="s">
        <v>90</v>
      </c>
      <c r="D8">
        <v>1</v>
      </c>
      <c r="E8" s="36">
        <v>2000000</v>
      </c>
      <c r="F8" s="36">
        <f t="shared" si="0"/>
        <v>580000</v>
      </c>
      <c r="G8" s="36">
        <f t="shared" si="1"/>
        <v>2580000</v>
      </c>
      <c r="H8" s="36">
        <v>12</v>
      </c>
      <c r="I8" s="36">
        <f t="shared" si="2"/>
        <v>30960000</v>
      </c>
    </row>
    <row r="9" spans="1:9" x14ac:dyDescent="0.25">
      <c r="A9" t="s">
        <v>100</v>
      </c>
      <c r="B9" t="s">
        <v>103</v>
      </c>
      <c r="C9" t="s">
        <v>91</v>
      </c>
      <c r="D9">
        <v>1</v>
      </c>
      <c r="E9" s="36">
        <v>2000000</v>
      </c>
      <c r="F9" s="36">
        <f>+E9*29%</f>
        <v>580000</v>
      </c>
      <c r="G9" s="36">
        <f t="shared" si="1"/>
        <v>2580000</v>
      </c>
      <c r="H9" s="36">
        <v>12</v>
      </c>
      <c r="I9" s="36">
        <f t="shared" si="2"/>
        <v>30960000</v>
      </c>
    </row>
    <row r="10" spans="1:9" x14ac:dyDescent="0.25">
      <c r="A10" t="s">
        <v>100</v>
      </c>
      <c r="B10" t="s">
        <v>102</v>
      </c>
      <c r="C10" t="s">
        <v>92</v>
      </c>
      <c r="D10">
        <v>1</v>
      </c>
      <c r="E10" s="36">
        <v>300000</v>
      </c>
      <c r="F10" s="36"/>
      <c r="G10" s="36"/>
      <c r="H10" s="36">
        <v>12</v>
      </c>
      <c r="I10" s="36">
        <f>+E10*12</f>
        <v>3600000</v>
      </c>
    </row>
    <row r="11" spans="1:9" x14ac:dyDescent="0.25">
      <c r="A11" t="s">
        <v>99</v>
      </c>
      <c r="B11" t="s">
        <v>117</v>
      </c>
      <c r="C11" t="s">
        <v>104</v>
      </c>
      <c r="D11">
        <v>1</v>
      </c>
      <c r="E11" s="36">
        <v>3000000</v>
      </c>
      <c r="F11" s="36"/>
      <c r="G11" s="36"/>
      <c r="H11" s="36">
        <v>1</v>
      </c>
      <c r="I11" s="36">
        <f>+E11*12</f>
        <v>36000000</v>
      </c>
    </row>
    <row r="12" spans="1:9" x14ac:dyDescent="0.25">
      <c r="A12" t="s">
        <v>83</v>
      </c>
      <c r="B12" t="s">
        <v>102</v>
      </c>
      <c r="C12" t="s">
        <v>85</v>
      </c>
      <c r="D12">
        <v>1</v>
      </c>
      <c r="E12" s="36">
        <v>2500000</v>
      </c>
      <c r="F12" s="36"/>
      <c r="G12" s="36"/>
      <c r="H12" s="36"/>
      <c r="I12" s="36">
        <f>+E12*D12</f>
        <v>2500000</v>
      </c>
    </row>
    <row r="13" spans="1:9" x14ac:dyDescent="0.25">
      <c r="A13" t="s">
        <v>83</v>
      </c>
      <c r="B13" t="s">
        <v>102</v>
      </c>
      <c r="C13" t="s">
        <v>105</v>
      </c>
      <c r="D13">
        <v>1</v>
      </c>
      <c r="E13" s="36">
        <v>1000000</v>
      </c>
      <c r="F13" s="36"/>
      <c r="G13" s="36"/>
      <c r="H13" s="36">
        <v>12</v>
      </c>
      <c r="I13" s="36">
        <f>+E13*H13</f>
        <v>12000000</v>
      </c>
    </row>
    <row r="14" spans="1:9" x14ac:dyDescent="0.25">
      <c r="A14" t="s">
        <v>83</v>
      </c>
      <c r="B14" t="s">
        <v>102</v>
      </c>
      <c r="C14" t="s">
        <v>106</v>
      </c>
      <c r="E14" s="36">
        <f>+('NECESIDADES DE INVERSION'!D20+'APORTES SOCIALES'!D11)/60</f>
        <v>394533.33333333331</v>
      </c>
      <c r="F14" s="36"/>
      <c r="G14" s="36"/>
      <c r="H14" s="36">
        <v>12</v>
      </c>
      <c r="I14" s="36">
        <f>+E14*H14</f>
        <v>4734400</v>
      </c>
    </row>
    <row r="15" spans="1:9" x14ac:dyDescent="0.25">
      <c r="A15" t="s">
        <v>83</v>
      </c>
      <c r="B15" t="s">
        <v>102</v>
      </c>
      <c r="C15" t="s">
        <v>84</v>
      </c>
      <c r="E15" s="36">
        <v>850000</v>
      </c>
      <c r="F15" s="36"/>
      <c r="G15" s="36"/>
      <c r="H15" s="36">
        <v>12</v>
      </c>
      <c r="I15" s="36">
        <f>+E15*H15</f>
        <v>10200000</v>
      </c>
    </row>
    <row r="16" spans="1:9" x14ac:dyDescent="0.25">
      <c r="A16" t="s">
        <v>83</v>
      </c>
      <c r="B16" t="s">
        <v>102</v>
      </c>
      <c r="C16" t="s">
        <v>86</v>
      </c>
      <c r="E16" s="36">
        <v>500000</v>
      </c>
      <c r="F16" s="36"/>
      <c r="G16" s="36"/>
      <c r="H16" s="36"/>
      <c r="I16" s="36">
        <f>+E16</f>
        <v>500000</v>
      </c>
    </row>
    <row r="17" spans="1:9" x14ac:dyDescent="0.25">
      <c r="A17" t="s">
        <v>83</v>
      </c>
      <c r="B17" t="s">
        <v>102</v>
      </c>
      <c r="C17" t="s">
        <v>110</v>
      </c>
      <c r="E17" s="36">
        <v>2000000</v>
      </c>
      <c r="F17" s="36"/>
      <c r="G17" s="36"/>
      <c r="H17" s="36"/>
      <c r="I17" s="36">
        <f>+E17</f>
        <v>2000000</v>
      </c>
    </row>
    <row r="18" spans="1:9" x14ac:dyDescent="0.25">
      <c r="F18" s="36"/>
      <c r="G18" s="36"/>
      <c r="H18" s="36"/>
      <c r="I18" s="36"/>
    </row>
    <row r="19" spans="1:9" x14ac:dyDescent="0.25">
      <c r="F19" s="36"/>
      <c r="G19" s="36"/>
      <c r="H19" s="36"/>
      <c r="I19" s="36"/>
    </row>
    <row r="20" spans="1:9" x14ac:dyDescent="0.25">
      <c r="F20" s="36"/>
      <c r="G20" s="36"/>
      <c r="H20" s="36"/>
      <c r="I20" s="36"/>
    </row>
    <row r="21" spans="1:9" x14ac:dyDescent="0.25">
      <c r="F21" s="36"/>
      <c r="G21" s="36"/>
      <c r="H21" s="36"/>
      <c r="I21" s="36"/>
    </row>
    <row r="22" spans="1:9" x14ac:dyDescent="0.25">
      <c r="F22" s="36"/>
      <c r="G22" s="36"/>
      <c r="H22" s="36"/>
      <c r="I22" s="36"/>
    </row>
    <row r="23" spans="1:9" x14ac:dyDescent="0.25">
      <c r="F23" s="36"/>
      <c r="G23" s="36"/>
      <c r="H23" s="36"/>
      <c r="I23" s="36"/>
    </row>
    <row r="24" spans="1:9" x14ac:dyDescent="0.25">
      <c r="F24" s="36"/>
      <c r="G24" s="36"/>
      <c r="H24" s="36"/>
      <c r="I24" s="36"/>
    </row>
    <row r="25" spans="1:9" x14ac:dyDescent="0.25">
      <c r="F25" s="36"/>
      <c r="G25" s="36"/>
      <c r="H25" s="36"/>
      <c r="I25" s="36"/>
    </row>
    <row r="26" spans="1:9" x14ac:dyDescent="0.25">
      <c r="F26" s="36"/>
      <c r="G26" s="36"/>
      <c r="H26" s="36"/>
      <c r="I26" s="36"/>
    </row>
    <row r="27" spans="1:9" x14ac:dyDescent="0.25">
      <c r="F27" s="36"/>
      <c r="G27" s="36"/>
      <c r="H27" s="36"/>
      <c r="I27" s="36"/>
    </row>
    <row r="28" spans="1:9" x14ac:dyDescent="0.25">
      <c r="F28" s="36"/>
      <c r="G28" s="36"/>
      <c r="H28" s="36"/>
      <c r="I28" s="36"/>
    </row>
    <row r="29" spans="1:9" x14ac:dyDescent="0.25">
      <c r="F29" s="36"/>
      <c r="G29" s="36"/>
      <c r="H29" s="36"/>
      <c r="I29" s="36"/>
    </row>
    <row r="30" spans="1:9" x14ac:dyDescent="0.25">
      <c r="F30" s="36"/>
      <c r="G30" s="36"/>
      <c r="H30" s="36"/>
      <c r="I30" s="36"/>
    </row>
    <row r="31" spans="1:9" x14ac:dyDescent="0.25">
      <c r="F31" s="36"/>
      <c r="G31" s="36"/>
      <c r="H31" s="36"/>
      <c r="I31" s="36"/>
    </row>
    <row r="32" spans="1:9" x14ac:dyDescent="0.25">
      <c r="F32" s="36"/>
      <c r="G32" s="36"/>
      <c r="H32" s="36"/>
      <c r="I32" s="36"/>
    </row>
    <row r="33" spans="6:9" x14ac:dyDescent="0.25">
      <c r="F33" s="36"/>
      <c r="G33" s="36"/>
      <c r="H33" s="36"/>
      <c r="I33" s="36"/>
    </row>
    <row r="34" spans="6:9" x14ac:dyDescent="0.25">
      <c r="F34" s="36"/>
      <c r="G34" s="36"/>
      <c r="H34" s="36"/>
      <c r="I34" s="36"/>
    </row>
    <row r="35" spans="6:9" x14ac:dyDescent="0.25">
      <c r="F35" s="36"/>
      <c r="G35" s="36"/>
      <c r="H35" s="36"/>
      <c r="I35" s="36"/>
    </row>
    <row r="36" spans="6:9" x14ac:dyDescent="0.25">
      <c r="F36" s="36"/>
      <c r="G36" s="36"/>
      <c r="H36" s="36"/>
      <c r="I36" s="36"/>
    </row>
    <row r="37" spans="6:9" x14ac:dyDescent="0.25">
      <c r="F37" s="36"/>
      <c r="G37" s="36"/>
      <c r="H37" s="36"/>
      <c r="I37" s="36"/>
    </row>
    <row r="38" spans="6:9" x14ac:dyDescent="0.25">
      <c r="F38" s="36"/>
      <c r="G38" s="36"/>
      <c r="H38" s="36"/>
      <c r="I38" s="36"/>
    </row>
    <row r="39" spans="6:9" x14ac:dyDescent="0.25">
      <c r="F39" s="36"/>
      <c r="G39" s="36"/>
      <c r="H39" s="36"/>
      <c r="I39" s="36"/>
    </row>
    <row r="40" spans="6:9" x14ac:dyDescent="0.25">
      <c r="F40" s="36"/>
      <c r="G40" s="36"/>
      <c r="H40" s="36"/>
      <c r="I40" s="36"/>
    </row>
    <row r="41" spans="6:9" x14ac:dyDescent="0.25">
      <c r="F41" s="36"/>
      <c r="G41" s="36"/>
      <c r="H41" s="36"/>
      <c r="I41" s="36"/>
    </row>
    <row r="42" spans="6:9" x14ac:dyDescent="0.25">
      <c r="F42" s="36"/>
      <c r="G42" s="36"/>
      <c r="H42" s="36"/>
      <c r="I42" s="36"/>
    </row>
    <row r="43" spans="6:9" x14ac:dyDescent="0.25">
      <c r="F43" s="36"/>
      <c r="G43" s="36"/>
      <c r="H43" s="36"/>
      <c r="I43" s="36"/>
    </row>
    <row r="44" spans="6:9" x14ac:dyDescent="0.25">
      <c r="F44" s="36"/>
      <c r="G44" s="36"/>
      <c r="H44" s="36"/>
      <c r="I44" s="36"/>
    </row>
    <row r="45" spans="6:9" x14ac:dyDescent="0.25">
      <c r="F45" s="36"/>
      <c r="G45" s="36"/>
      <c r="H45" s="36"/>
      <c r="I45" s="36"/>
    </row>
    <row r="46" spans="6:9" x14ac:dyDescent="0.25">
      <c r="F46" s="36"/>
      <c r="G46" s="36"/>
      <c r="H46" s="36"/>
      <c r="I46" s="36"/>
    </row>
    <row r="47" spans="6:9" x14ac:dyDescent="0.25">
      <c r="F47" s="36"/>
      <c r="G47" s="36"/>
      <c r="H47" s="36"/>
      <c r="I47" s="36"/>
    </row>
    <row r="48" spans="6:9" x14ac:dyDescent="0.25">
      <c r="F48" s="36"/>
      <c r="G48" s="36"/>
      <c r="H48" s="36"/>
      <c r="I48" s="36"/>
    </row>
    <row r="49" spans="6:9" x14ac:dyDescent="0.25">
      <c r="F49" s="36"/>
      <c r="G49" s="36"/>
      <c r="H49" s="36"/>
      <c r="I49" s="36"/>
    </row>
    <row r="50" spans="6:9" x14ac:dyDescent="0.25">
      <c r="F50" s="36"/>
      <c r="G50" s="36"/>
      <c r="H50" s="36"/>
      <c r="I50" s="36"/>
    </row>
    <row r="51" spans="6:9" x14ac:dyDescent="0.25">
      <c r="F51" s="36"/>
      <c r="G51" s="36"/>
      <c r="H51" s="36"/>
      <c r="I51" s="36"/>
    </row>
    <row r="52" spans="6:9" x14ac:dyDescent="0.25">
      <c r="F52" s="36"/>
      <c r="G52" s="36"/>
      <c r="H52" s="36"/>
      <c r="I52" s="36"/>
    </row>
    <row r="53" spans="6:9" x14ac:dyDescent="0.25">
      <c r="F53" s="36"/>
      <c r="G53" s="36"/>
      <c r="H53" s="36"/>
      <c r="I53" s="36"/>
    </row>
    <row r="54" spans="6:9" x14ac:dyDescent="0.25">
      <c r="F54" s="36"/>
      <c r="G54" s="36"/>
      <c r="H54" s="36"/>
      <c r="I54" s="36"/>
    </row>
    <row r="55" spans="6:9" x14ac:dyDescent="0.25">
      <c r="F55" s="36"/>
      <c r="G55" s="36"/>
      <c r="H55" s="36"/>
      <c r="I55" s="36"/>
    </row>
    <row r="56" spans="6:9" x14ac:dyDescent="0.25">
      <c r="F56" s="36"/>
      <c r="G56" s="36"/>
      <c r="H56" s="36"/>
      <c r="I56" s="36"/>
    </row>
    <row r="57" spans="6:9" x14ac:dyDescent="0.25">
      <c r="F57" s="36"/>
      <c r="G57" s="36"/>
      <c r="H57" s="36"/>
      <c r="I57" s="36"/>
    </row>
    <row r="58" spans="6:9" x14ac:dyDescent="0.25">
      <c r="F58" s="36"/>
      <c r="G58" s="36"/>
      <c r="H58" s="36"/>
      <c r="I58" s="36"/>
    </row>
    <row r="59" spans="6:9" x14ac:dyDescent="0.25">
      <c r="F59" s="36"/>
      <c r="G59" s="36"/>
      <c r="H59" s="36"/>
      <c r="I59" s="36"/>
    </row>
    <row r="60" spans="6:9" x14ac:dyDescent="0.25">
      <c r="F60" s="36"/>
      <c r="G60" s="36"/>
      <c r="H60" s="36"/>
      <c r="I60" s="36"/>
    </row>
    <row r="61" spans="6:9" x14ac:dyDescent="0.25">
      <c r="F61" s="36"/>
      <c r="G61" s="36"/>
      <c r="H61" s="36"/>
      <c r="I61" s="36"/>
    </row>
    <row r="62" spans="6:9" x14ac:dyDescent="0.25">
      <c r="F62" s="36"/>
      <c r="G62" s="36"/>
      <c r="H62" s="36"/>
      <c r="I62" s="36"/>
    </row>
    <row r="63" spans="6:9" x14ac:dyDescent="0.25">
      <c r="F63" s="36"/>
      <c r="G63" s="36"/>
      <c r="H63" s="36"/>
      <c r="I63" s="36"/>
    </row>
    <row r="64" spans="6:9" x14ac:dyDescent="0.25">
      <c r="F64" s="36"/>
      <c r="G64" s="36"/>
      <c r="H64" s="36"/>
      <c r="I64" s="36"/>
    </row>
    <row r="65" spans="6:9" x14ac:dyDescent="0.25">
      <c r="F65" s="36"/>
      <c r="G65" s="36"/>
      <c r="H65" s="36"/>
      <c r="I65" s="36"/>
    </row>
    <row r="66" spans="6:9" x14ac:dyDescent="0.25">
      <c r="F66" s="36"/>
      <c r="G66" s="36"/>
      <c r="H66" s="36"/>
      <c r="I66" s="36"/>
    </row>
    <row r="67" spans="6:9" x14ac:dyDescent="0.25">
      <c r="F67" s="36"/>
      <c r="G67" s="36"/>
      <c r="H67" s="36"/>
      <c r="I67" s="36"/>
    </row>
    <row r="68" spans="6:9" x14ac:dyDescent="0.25">
      <c r="F68" s="36"/>
      <c r="G68" s="36"/>
      <c r="H68" s="36"/>
      <c r="I68" s="36"/>
    </row>
    <row r="69" spans="6:9" x14ac:dyDescent="0.25">
      <c r="F69" s="36"/>
      <c r="G69" s="36"/>
      <c r="H69" s="36"/>
      <c r="I69" s="36"/>
    </row>
    <row r="70" spans="6:9" x14ac:dyDescent="0.25">
      <c r="F70" s="36"/>
      <c r="G70" s="36"/>
      <c r="H70" s="36"/>
      <c r="I70" s="36"/>
    </row>
    <row r="71" spans="6:9" x14ac:dyDescent="0.25">
      <c r="F71" s="36"/>
      <c r="G71" s="36"/>
      <c r="H71" s="36"/>
      <c r="I71" s="36"/>
    </row>
    <row r="72" spans="6:9" x14ac:dyDescent="0.25">
      <c r="F72" s="36"/>
      <c r="G72" s="36"/>
      <c r="H72" s="36"/>
      <c r="I72" s="36"/>
    </row>
    <row r="73" spans="6:9" x14ac:dyDescent="0.25">
      <c r="F73" s="36"/>
      <c r="G73" s="36"/>
      <c r="H73" s="36"/>
      <c r="I73" s="36"/>
    </row>
    <row r="74" spans="6:9" x14ac:dyDescent="0.25">
      <c r="F74" s="36"/>
      <c r="G74" s="36"/>
      <c r="H74" s="36"/>
      <c r="I74" s="36"/>
    </row>
    <row r="75" spans="6:9" x14ac:dyDescent="0.25">
      <c r="F75" s="36"/>
      <c r="G75" s="36"/>
      <c r="H75" s="36"/>
      <c r="I75" s="36"/>
    </row>
    <row r="76" spans="6:9" x14ac:dyDescent="0.25">
      <c r="F76" s="36"/>
      <c r="G76" s="36"/>
      <c r="H76" s="36"/>
      <c r="I76" s="36"/>
    </row>
    <row r="77" spans="6:9" x14ac:dyDescent="0.25">
      <c r="F77" s="36"/>
      <c r="G77" s="36"/>
      <c r="H77" s="36"/>
      <c r="I77" s="36"/>
    </row>
    <row r="78" spans="6:9" x14ac:dyDescent="0.25">
      <c r="F78" s="36"/>
      <c r="G78" s="36"/>
      <c r="H78" s="36"/>
      <c r="I78" s="36"/>
    </row>
  </sheetData>
  <autoFilter ref="A4:M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CRONOGRAMA</vt:lpstr>
      <vt:lpstr>ESF</vt:lpstr>
      <vt:lpstr>ER</vt:lpstr>
      <vt:lpstr>FLUJO DE CAJA</vt:lpstr>
      <vt:lpstr>PROYECCION VTAS</vt:lpstr>
      <vt:lpstr>NECESIDADES DE INVERSION</vt:lpstr>
      <vt:lpstr>TIR Y VPN</vt:lpstr>
      <vt:lpstr>SECTOR INFLACION</vt:lpstr>
      <vt:lpstr>COSTOS Y GASTOS</vt:lpstr>
      <vt:lpstr>APORTES SOCIALES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jeisson lopez</dc:creator>
  <cp:lastModifiedBy>sis</cp:lastModifiedBy>
  <cp:lastPrinted>2019-10-09T05:23:29Z</cp:lastPrinted>
  <dcterms:created xsi:type="dcterms:W3CDTF">2019-10-04T00:18:27Z</dcterms:created>
  <dcterms:modified xsi:type="dcterms:W3CDTF">2020-05-06T15:37:30Z</dcterms:modified>
</cp:coreProperties>
</file>